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1415" windowHeight="5595" activeTab="3"/>
  </bookViews>
  <sheets>
    <sheet name="説明" sheetId="1" r:id="rId1"/>
    <sheet name="地位級Ⅰ" sheetId="2" r:id="rId2"/>
    <sheet name="地位級Ⅱ" sheetId="3" r:id="rId3"/>
    <sheet name="地位級Ⅲ" sheetId="4" r:id="rId4"/>
    <sheet name="地位級Ⅳ" sheetId="5" r:id="rId5"/>
    <sheet name="地位級Ⅴ" sheetId="6" r:id="rId6"/>
  </sheets>
  <definedNames>
    <definedName name="_Fill" hidden="1">#REF!</definedName>
    <definedName name="_xlnm.Print_Area" localSheetId="1">'地位級Ⅰ'!$A$1:$L$27</definedName>
    <definedName name="_xlnm.Print_Area" localSheetId="2">'地位級Ⅱ'!$A$1:$M$28</definedName>
    <definedName name="_xlnm.Print_Area" localSheetId="3">'地位級Ⅲ'!$A$1:$M$28</definedName>
    <definedName name="_xlnm.Print_Area" localSheetId="4">'地位級Ⅳ'!$A$1:$L$27</definedName>
    <definedName name="_xlnm.Print_Area" localSheetId="5">'地位級Ⅴ'!$A$1:$L$28</definedName>
  </definedNames>
  <calcPr fullCalcOnLoad="1"/>
</workbook>
</file>

<file path=xl/sharedStrings.xml><?xml version="1.0" encoding="utf-8"?>
<sst xmlns="http://schemas.openxmlformats.org/spreadsheetml/2006/main" count="231" uniqueCount="63">
  <si>
    <t>地位</t>
  </si>
  <si>
    <t>HF=</t>
  </si>
  <si>
    <t xml:space="preserve"> G=</t>
  </si>
  <si>
    <t>DG=</t>
  </si>
  <si>
    <t>NRF=</t>
  </si>
  <si>
    <t>VRF=</t>
  </si>
  <si>
    <t>** 逆数式の係数 **</t>
  </si>
  <si>
    <t>** 形状高係数 **</t>
  </si>
  <si>
    <t xml:space="preserve"> ** 断面積係数 **</t>
  </si>
  <si>
    <t xml:space="preserve"> ** 最多密度線係数 **</t>
  </si>
  <si>
    <t>b1=</t>
  </si>
  <si>
    <t>BHF1=</t>
  </si>
  <si>
    <t>BDG1=</t>
  </si>
  <si>
    <t>K1 MAX=</t>
  </si>
  <si>
    <t>b2=</t>
  </si>
  <si>
    <t>BHF2=</t>
  </si>
  <si>
    <t>BDG2=</t>
  </si>
  <si>
    <t xml:space="preserve"> ** 等平均直径線係数 **</t>
  </si>
  <si>
    <t>b3=</t>
  </si>
  <si>
    <t>BHF3=</t>
  </si>
  <si>
    <t>BDG3=</t>
  </si>
  <si>
    <t>b4-b2=</t>
  </si>
  <si>
    <t>b4=</t>
  </si>
  <si>
    <t xml:space="preserve">    M</t>
  </si>
  <si>
    <t xml:space="preserve">  L</t>
  </si>
  <si>
    <t xml:space="preserve">  K</t>
  </si>
  <si>
    <t>H = M*(1-L*exp(-K*t))</t>
  </si>
  <si>
    <t>**** ミッチャーリッヒ式の係数 M,L,K****</t>
  </si>
  <si>
    <t>STD</t>
  </si>
  <si>
    <t>地位級</t>
  </si>
  <si>
    <t>収量比数</t>
  </si>
  <si>
    <r>
      <t>林分密度　</t>
    </r>
    <r>
      <rPr>
        <sz val="8"/>
        <rFont val="ＭＳ Ｐゴシック"/>
        <family val="3"/>
      </rPr>
      <t>（本/ha）</t>
    </r>
  </si>
  <si>
    <r>
      <t>樹高　</t>
    </r>
    <r>
      <rPr>
        <sz val="8"/>
        <rFont val="ＭＳ Ｐゴシック"/>
        <family val="3"/>
      </rPr>
      <t>　（m）</t>
    </r>
  </si>
  <si>
    <r>
      <t>林齢　</t>
    </r>
    <r>
      <rPr>
        <sz val="8"/>
        <rFont val="ＭＳ Ｐゴシック"/>
        <family val="3"/>
      </rPr>
      <t xml:space="preserve"> （年）</t>
    </r>
  </si>
  <si>
    <r>
      <t>胸高直径</t>
    </r>
    <r>
      <rPr>
        <sz val="8"/>
        <rFont val="ＭＳ Ｐゴシック"/>
        <family val="3"/>
      </rPr>
      <t>(ｃｍ)</t>
    </r>
  </si>
  <si>
    <t>Ⅴ</t>
  </si>
  <si>
    <r>
      <t xml:space="preserve"> 幹材積</t>
    </r>
    <r>
      <rPr>
        <sz val="8"/>
        <rFont val="ＭＳ Ｐゴシック"/>
        <family val="3"/>
      </rPr>
      <t>(ｍ</t>
    </r>
    <r>
      <rPr>
        <vertAlign val="superscript"/>
        <sz val="8"/>
        <rFont val="ＭＳ Ｐゴシック"/>
        <family val="3"/>
      </rPr>
      <t>３</t>
    </r>
    <r>
      <rPr>
        <sz val="8"/>
        <rFont val="ＭＳ Ｐゴシック"/>
        <family val="3"/>
      </rPr>
      <t>/ha)</t>
    </r>
  </si>
  <si>
    <t>林齢・密度の入力表</t>
  </si>
  <si>
    <r>
      <t>密度</t>
    </r>
    <r>
      <rPr>
        <sz val="6"/>
        <rFont val="ＭＳ Ｐゴシック"/>
        <family val="3"/>
      </rPr>
      <t>(本/ha)</t>
    </r>
  </si>
  <si>
    <r>
      <t>林齢</t>
    </r>
    <r>
      <rPr>
        <sz val="8"/>
        <rFont val="ＭＳ Ｐゴシック"/>
        <family val="3"/>
      </rPr>
      <t>(年)</t>
    </r>
  </si>
  <si>
    <r>
      <t>樹高</t>
    </r>
    <r>
      <rPr>
        <sz val="8"/>
        <rFont val="ＭＳ Ｐゴシック"/>
        <family val="3"/>
      </rPr>
      <t>(m)</t>
    </r>
  </si>
  <si>
    <t>**** ミッチャーリッヒ式の係数 M,L,K****</t>
  </si>
  <si>
    <t>収穫予想結果（カラマツ人工林）</t>
  </si>
  <si>
    <t>任意の林齢と林分密度を与え、45年後までの樹高、胸高直径と収量比数の変化を予測します。</t>
  </si>
  <si>
    <t>カラマツ</t>
  </si>
  <si>
    <t>長野県林業総合センタ－(2006)</t>
  </si>
  <si>
    <t>Ⅰ</t>
  </si>
  <si>
    <t>Ⅱ</t>
  </si>
  <si>
    <t>STD</t>
  </si>
  <si>
    <t>Ⅲ</t>
  </si>
  <si>
    <t>STD</t>
  </si>
  <si>
    <t>**** ミッチャーリッヒ式の係数 M,L,K****</t>
  </si>
  <si>
    <t>Ⅳ</t>
  </si>
  <si>
    <t>簡易林分収穫予想表＜長野県民有林カラマツ人工林＞の説明</t>
  </si>
  <si>
    <t>　収穫予想表では
①任意の林齢を入力することで地位級別の樹高が得られます。
②さらに任意の林分密度を入力するとヘクタ－ル当りの幹材積、収量比数、平均胸高直径などが得られます。</t>
  </si>
  <si>
    <t>　表は地位級別（５区分）に作成してあります。
地位級Ⅲは、現地調査結果から得られた長野県の平均的な樹高成長曲線です。
地位級Ⅰは県内で最もよく成長する場合を示し、Ⅴは最も成長の不良な場合を示しています。
地位級ⅡおよびⅣは、それぞれⅠとⅢ、ⅢとⅤの中間を示しています。</t>
  </si>
  <si>
    <t xml:space="preserve">　この収穫予想表は、森林施業の目安を得るために作成したものです。
森林の自然環境は多様なため、本表による収穫予想結果と現実林分の成長量・収穫量が異なる場合があります。
</t>
  </si>
  <si>
    <t>　この収穫予想表は、「林野庁：関東・中部地方ヒノキ林分密度管理図、1981」に示されているカラマツ人工林の成長に関する数式と係数、ならびに長野県林業総合センタ－が実施した「長期育成循環施業に対応する森林管理技術の開発に関する研究（林野庁：林業普及情報活動システム化事業、Ｈ11～15年）」により得られたカラマツ人工林の樹高生長曲線式に係わる係数を使用し、Microsoft　Excelによって作成したものです。</t>
  </si>
  <si>
    <t>林分形状比</t>
  </si>
  <si>
    <r>
      <t>平均胸高直径</t>
    </r>
    <r>
      <rPr>
        <sz val="8"/>
        <rFont val="ＭＳ Ｐゴシック"/>
        <family val="3"/>
      </rPr>
      <t>(ｃｍ)</t>
    </r>
  </si>
  <si>
    <r>
      <t>樹高　</t>
    </r>
    <r>
      <rPr>
        <sz val="8"/>
        <rFont val="ＭＳ Ｐゴシック"/>
        <family val="3"/>
      </rPr>
      <t>　（m）</t>
    </r>
  </si>
  <si>
    <t>STD</t>
  </si>
  <si>
    <t>**** ミッチャーリッヒ式の係数 M,L,K****</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</si>
</sst>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0_ "/>
    <numFmt numFmtId="179" formatCode="0.00000_ "/>
    <numFmt numFmtId="180" formatCode="0.000_ "/>
    <numFmt numFmtId="181" formatCode="0.00_ "/>
  </numFmts>
  <fonts count="24">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7"/>
      <name val="ＭＳ 明朝"/>
      <family val="1"/>
    </font>
    <font>
      <sz val="10"/>
      <name val="ＭＳ Ｐゴシック"/>
      <family val="3"/>
    </font>
    <font>
      <sz val="8"/>
      <name val="ＭＳ Ｐゴシック"/>
      <family val="3"/>
    </font>
    <font>
      <sz val="8"/>
      <color indexed="55"/>
      <name val="ＭＳ Ｐゴシック"/>
      <family val="3"/>
    </font>
    <font>
      <sz val="10"/>
      <color indexed="8"/>
      <name val="ＭＳ Ｐゴシック"/>
      <family val="3"/>
    </font>
    <font>
      <sz val="5"/>
      <name val="ＭＳ Ｐゴシック"/>
      <family val="3"/>
    </font>
    <font>
      <sz val="5.25"/>
      <name val="ＭＳ Ｐゴシック"/>
      <family val="3"/>
    </font>
    <font>
      <sz val="5.5"/>
      <name val="ＭＳ Ｐゴシック"/>
      <family val="3"/>
    </font>
    <font>
      <sz val="12"/>
      <name val="ＭＳ 明朝"/>
      <family val="1"/>
    </font>
    <font>
      <sz val="14"/>
      <name val="HG丸ｺﾞｼｯｸM-PRO"/>
      <family val="3"/>
    </font>
    <font>
      <sz val="11"/>
      <name val="HG丸ｺﾞｼｯｸM-PRO"/>
      <family val="3"/>
    </font>
    <font>
      <vertAlign val="superscript"/>
      <sz val="8"/>
      <name val="ＭＳ Ｐゴシック"/>
      <family val="3"/>
    </font>
    <font>
      <sz val="6"/>
      <name val="ＭＳ Ｐゴシック"/>
      <family val="3"/>
    </font>
    <font>
      <b/>
      <sz val="10"/>
      <color indexed="12"/>
      <name val="ＭＳ Ｐゴシック"/>
      <family val="3"/>
    </font>
    <font>
      <b/>
      <sz val="10"/>
      <name val="ＭＳ Ｐゴシック"/>
      <family val="3"/>
    </font>
    <font>
      <sz val="8"/>
      <color indexed="22"/>
      <name val="ＭＳ Ｐゴシック"/>
      <family val="3"/>
    </font>
    <font>
      <sz val="10"/>
      <color indexed="22"/>
      <name val="ＭＳ Ｐゴシック"/>
      <family val="3"/>
    </font>
    <font>
      <sz val="8"/>
      <color indexed="44"/>
      <name val="ＭＳ Ｐゴシック"/>
      <family val="3"/>
    </font>
    <font>
      <sz val="10"/>
      <color indexed="44"/>
      <name val="ＭＳ Ｐゴシック"/>
      <family val="3"/>
    </font>
  </fonts>
  <fills count="5">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44"/>
        <bgColor indexed="64"/>
      </patternFill>
    </fill>
  </fills>
  <borders count="15">
    <border>
      <left/>
      <right/>
      <top/>
      <bottom/>
      <diagonal/>
    </border>
    <border>
      <left>
        <color indexed="63"/>
      </left>
      <right>
        <color indexed="63"/>
      </right>
      <top style="thin"/>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color indexed="63"/>
      </left>
      <right>
        <color indexed="63"/>
      </right>
      <top>
        <color indexed="63"/>
      </top>
      <bottom style="thin"/>
    </border>
    <border>
      <left>
        <color indexed="63"/>
      </left>
      <right>
        <color indexed="63"/>
      </right>
      <top style="thin"/>
      <bottom>
        <color indexed="63"/>
      </bottom>
    </border>
    <border>
      <left style="slantDashDot">
        <color indexed="50"/>
      </left>
      <right>
        <color indexed="63"/>
      </right>
      <top style="slantDashDot">
        <color indexed="50"/>
      </top>
      <bottom>
        <color indexed="63"/>
      </bottom>
    </border>
    <border>
      <left>
        <color indexed="63"/>
      </left>
      <right>
        <color indexed="63"/>
      </right>
      <top style="slantDashDot">
        <color indexed="50"/>
      </top>
      <bottom>
        <color indexed="63"/>
      </bottom>
    </border>
    <border>
      <left>
        <color indexed="63"/>
      </left>
      <right style="slantDashDot">
        <color indexed="50"/>
      </right>
      <top style="slantDashDot">
        <color indexed="50"/>
      </top>
      <bottom>
        <color indexed="63"/>
      </bottom>
    </border>
    <border>
      <left style="slantDashDot">
        <color indexed="50"/>
      </left>
      <right>
        <color indexed="63"/>
      </right>
      <top>
        <color indexed="63"/>
      </top>
      <bottom>
        <color indexed="63"/>
      </bottom>
    </border>
    <border>
      <left>
        <color indexed="63"/>
      </left>
      <right style="slantDashDot">
        <color indexed="50"/>
      </right>
      <top>
        <color indexed="63"/>
      </top>
      <bottom>
        <color indexed="63"/>
      </bottom>
    </border>
    <border>
      <left style="slantDashDot">
        <color indexed="50"/>
      </left>
      <right>
        <color indexed="63"/>
      </right>
      <top>
        <color indexed="63"/>
      </top>
      <bottom style="slantDashDot">
        <color indexed="50"/>
      </bottom>
    </border>
    <border>
      <left>
        <color indexed="63"/>
      </left>
      <right>
        <color indexed="63"/>
      </right>
      <top>
        <color indexed="63"/>
      </top>
      <bottom style="slantDashDot">
        <color indexed="50"/>
      </bottom>
    </border>
    <border>
      <left>
        <color indexed="63"/>
      </left>
      <right style="slantDashDot">
        <color indexed="50"/>
      </right>
      <top>
        <color indexed="63"/>
      </top>
      <bottom style="slantDashDot">
        <color indexed="5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141">
    <xf numFmtId="0" fontId="0" fillId="0" borderId="0" xfId="0"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pplyProtection="1">
      <alignment/>
      <protection/>
    </xf>
    <xf numFmtId="0" fontId="8" fillId="0" borderId="0" xfId="0" applyFont="1" applyFill="1" applyAlignment="1">
      <alignment/>
    </xf>
    <xf numFmtId="0" fontId="7" fillId="0" borderId="0" xfId="0" applyFont="1" applyFill="1" applyAlignment="1">
      <alignment/>
    </xf>
    <xf numFmtId="0" fontId="9" fillId="2" borderId="1" xfId="0" applyFont="1" applyFill="1" applyBorder="1" applyAlignment="1" applyProtection="1">
      <alignment/>
      <protection/>
    </xf>
    <xf numFmtId="176" fontId="9" fillId="2" borderId="2" xfId="0" applyNumberFormat="1" applyFont="1" applyFill="1" applyBorder="1" applyAlignment="1" applyProtection="1">
      <alignment/>
      <protection/>
    </xf>
    <xf numFmtId="0" fontId="9" fillId="2" borderId="3" xfId="0" applyFont="1" applyFill="1" applyBorder="1" applyAlignment="1" applyProtection="1">
      <alignment/>
      <protection/>
    </xf>
    <xf numFmtId="1" fontId="9" fillId="2" borderId="4" xfId="0" applyNumberFormat="1" applyFont="1" applyFill="1" applyBorder="1" applyAlignment="1" applyProtection="1">
      <alignment/>
      <protection/>
    </xf>
    <xf numFmtId="0" fontId="0" fillId="2" borderId="0" xfId="0" applyFill="1" applyAlignment="1">
      <alignment/>
    </xf>
    <xf numFmtId="0" fontId="14" fillId="2" borderId="0" xfId="0" applyFont="1" applyFill="1" applyAlignment="1">
      <alignment horizontal="center"/>
    </xf>
    <xf numFmtId="0" fontId="14" fillId="2" borderId="0" xfId="0" applyFont="1" applyFill="1" applyAlignment="1">
      <alignment/>
    </xf>
    <xf numFmtId="0" fontId="15" fillId="2" borderId="0" xfId="0" applyFont="1" applyFill="1" applyAlignment="1" applyProtection="1">
      <alignment horizontal="left" vertical="center" wrapText="1"/>
      <protection/>
    </xf>
    <xf numFmtId="0" fontId="15" fillId="2" borderId="0" xfId="0" applyFont="1" applyFill="1" applyAlignment="1">
      <alignment vertical="center"/>
    </xf>
    <xf numFmtId="0" fontId="15" fillId="2" borderId="0" xfId="0" applyFont="1" applyFill="1" applyAlignment="1">
      <alignment vertical="center" wrapText="1"/>
    </xf>
    <xf numFmtId="0" fontId="13" fillId="2" borderId="0" xfId="0" applyFont="1" applyFill="1" applyAlignment="1">
      <alignment/>
    </xf>
    <xf numFmtId="0" fontId="15" fillId="2" borderId="0" xfId="0" applyFont="1" applyFill="1" applyAlignment="1">
      <alignment horizontal="right"/>
    </xf>
    <xf numFmtId="0" fontId="0" fillId="0" borderId="0" xfId="0" applyFill="1" applyAlignment="1">
      <alignment/>
    </xf>
    <xf numFmtId="0" fontId="14" fillId="0" borderId="0" xfId="0" applyFont="1" applyFill="1" applyAlignment="1">
      <alignment/>
    </xf>
    <xf numFmtId="0" fontId="15" fillId="0" borderId="0" xfId="0" applyFont="1" applyFill="1" applyAlignment="1">
      <alignment/>
    </xf>
    <xf numFmtId="0" fontId="13" fillId="0" borderId="0" xfId="0" applyFont="1" applyFill="1" applyAlignment="1">
      <alignment/>
    </xf>
    <xf numFmtId="176" fontId="9" fillId="2" borderId="3" xfId="0" applyNumberFormat="1" applyFont="1" applyFill="1" applyBorder="1" applyAlignment="1" applyProtection="1">
      <alignment/>
      <protection/>
    </xf>
    <xf numFmtId="0" fontId="18" fillId="3" borderId="5" xfId="0" applyFont="1" applyFill="1" applyBorder="1" applyAlignment="1" applyProtection="1">
      <alignment horizontal="center"/>
      <protection locked="0"/>
    </xf>
    <xf numFmtId="0" fontId="6" fillId="2" borderId="5" xfId="0" applyFont="1" applyFill="1" applyBorder="1" applyAlignment="1" applyProtection="1">
      <alignment horizontal="left" indent="1"/>
      <protection/>
    </xf>
    <xf numFmtId="0" fontId="6" fillId="2" borderId="0" xfId="0" applyFont="1" applyFill="1" applyAlignment="1" applyProtection="1">
      <alignment/>
      <protection/>
    </xf>
    <xf numFmtId="2" fontId="6" fillId="2" borderId="0" xfId="0" applyNumberFormat="1" applyFont="1" applyFill="1" applyAlignment="1" applyProtection="1">
      <alignment/>
      <protection/>
    </xf>
    <xf numFmtId="0" fontId="6" fillId="2" borderId="0" xfId="0" applyFont="1" applyFill="1" applyAlignment="1">
      <alignment/>
    </xf>
    <xf numFmtId="0" fontId="6" fillId="2" borderId="0" xfId="0" applyFont="1" applyFill="1" applyBorder="1" applyAlignment="1" applyProtection="1">
      <alignment horizontal="center"/>
      <protection/>
    </xf>
    <xf numFmtId="2" fontId="6" fillId="2" borderId="0" xfId="0" applyNumberFormat="1" applyFont="1" applyFill="1" applyBorder="1" applyAlignment="1" applyProtection="1">
      <alignment/>
      <protection/>
    </xf>
    <xf numFmtId="181" fontId="6" fillId="2" borderId="0" xfId="0" applyNumberFormat="1" applyFont="1" applyFill="1" applyBorder="1" applyAlignment="1" applyProtection="1">
      <alignment horizontal="center"/>
      <protection/>
    </xf>
    <xf numFmtId="0" fontId="6" fillId="2" borderId="1" xfId="0" applyFont="1" applyFill="1" applyBorder="1" applyAlignment="1" applyProtection="1">
      <alignment horizontal="center"/>
      <protection/>
    </xf>
    <xf numFmtId="0" fontId="6" fillId="2" borderId="1" xfId="0" applyFont="1" applyFill="1" applyBorder="1" applyAlignment="1" applyProtection="1">
      <alignment/>
      <protection/>
    </xf>
    <xf numFmtId="0" fontId="6" fillId="2" borderId="2" xfId="0" applyFont="1" applyFill="1" applyBorder="1" applyAlignment="1" applyProtection="1">
      <alignment horizontal="center"/>
      <protection/>
    </xf>
    <xf numFmtId="176" fontId="6" fillId="2" borderId="2" xfId="0" applyNumberFormat="1" applyFont="1" applyFill="1" applyBorder="1" applyAlignment="1" applyProtection="1">
      <alignment/>
      <protection/>
    </xf>
    <xf numFmtId="0" fontId="6" fillId="2" borderId="3" xfId="0" applyFont="1" applyFill="1" applyBorder="1" applyAlignment="1" applyProtection="1">
      <alignment horizontal="center"/>
      <protection/>
    </xf>
    <xf numFmtId="0" fontId="6" fillId="2" borderId="3" xfId="0" applyFont="1" applyFill="1" applyBorder="1" applyAlignment="1" applyProtection="1">
      <alignment/>
      <protection/>
    </xf>
    <xf numFmtId="176" fontId="6" fillId="2" borderId="3" xfId="0" applyNumberFormat="1" applyFont="1" applyFill="1" applyBorder="1" applyAlignment="1" applyProtection="1">
      <alignment/>
      <protection/>
    </xf>
    <xf numFmtId="0" fontId="6" fillId="2" borderId="4" xfId="0" applyFont="1" applyFill="1" applyBorder="1" applyAlignment="1" applyProtection="1">
      <alignment horizontal="center"/>
      <protection/>
    </xf>
    <xf numFmtId="1" fontId="6" fillId="2" borderId="4" xfId="0" applyNumberFormat="1" applyFont="1" applyFill="1" applyBorder="1" applyAlignment="1" applyProtection="1">
      <alignment/>
      <protection/>
    </xf>
    <xf numFmtId="0" fontId="6" fillId="2" borderId="0" xfId="0" applyFont="1" applyFill="1" applyAlignment="1" applyProtection="1">
      <alignment/>
      <protection/>
    </xf>
    <xf numFmtId="0" fontId="6" fillId="2" borderId="6" xfId="0" applyFont="1" applyFill="1" applyBorder="1" applyAlignment="1" applyProtection="1">
      <alignment horizontal="center"/>
      <protection/>
    </xf>
    <xf numFmtId="0" fontId="6" fillId="2" borderId="5" xfId="0" applyFont="1" applyFill="1" applyBorder="1" applyAlignment="1" applyProtection="1">
      <alignment/>
      <protection/>
    </xf>
    <xf numFmtId="0" fontId="6" fillId="2" borderId="0" xfId="0" applyFont="1" applyFill="1" applyAlignment="1" applyProtection="1">
      <alignment vertical="center"/>
      <protection/>
    </xf>
    <xf numFmtId="0" fontId="19" fillId="2" borderId="0" xfId="0" applyFont="1" applyFill="1" applyAlignment="1">
      <alignment horizontal="center"/>
    </xf>
    <xf numFmtId="2" fontId="9" fillId="2" borderId="3" xfId="0" applyNumberFormat="1" applyFont="1" applyFill="1" applyBorder="1" applyAlignment="1" applyProtection="1">
      <alignment horizontal="right"/>
      <protection/>
    </xf>
    <xf numFmtId="2" fontId="6" fillId="2" borderId="3" xfId="0" applyNumberFormat="1" applyFont="1" applyFill="1" applyBorder="1" applyAlignment="1" applyProtection="1">
      <alignment horizontal="right"/>
      <protection/>
    </xf>
    <xf numFmtId="0" fontId="6" fillId="4" borderId="0" xfId="0" applyFont="1" applyFill="1" applyAlignment="1">
      <alignment/>
    </xf>
    <xf numFmtId="0" fontId="6" fillId="4" borderId="0" xfId="0" applyFont="1" applyFill="1" applyAlignment="1" applyProtection="1">
      <alignment horizontal="left"/>
      <protection/>
    </xf>
    <xf numFmtId="0" fontId="20" fillId="4" borderId="0" xfId="0" applyFont="1" applyFill="1" applyAlignment="1">
      <alignment/>
    </xf>
    <xf numFmtId="0" fontId="20" fillId="4" borderId="0" xfId="0" applyFont="1" applyFill="1" applyBorder="1" applyAlignment="1" applyProtection="1">
      <alignment horizontal="center"/>
      <protection/>
    </xf>
    <xf numFmtId="1" fontId="20" fillId="4" borderId="0" xfId="0" applyNumberFormat="1" applyFont="1" applyFill="1" applyBorder="1" applyAlignment="1" applyProtection="1">
      <alignment/>
      <protection/>
    </xf>
    <xf numFmtId="0" fontId="20" fillId="4" borderId="5" xfId="0" applyFont="1" applyFill="1" applyBorder="1" applyAlignment="1" applyProtection="1">
      <alignment horizontal="center"/>
      <protection/>
    </xf>
    <xf numFmtId="1" fontId="20" fillId="4" borderId="5" xfId="0" applyNumberFormat="1" applyFont="1" applyFill="1" applyBorder="1" applyAlignment="1" applyProtection="1">
      <alignment/>
      <protection/>
    </xf>
    <xf numFmtId="0" fontId="21" fillId="4" borderId="0" xfId="0" applyFont="1" applyFill="1" applyAlignment="1">
      <alignment/>
    </xf>
    <xf numFmtId="0" fontId="21" fillId="4" borderId="0" xfId="0" applyFont="1" applyFill="1" applyBorder="1" applyAlignment="1" applyProtection="1">
      <alignment horizontal="center"/>
      <protection/>
    </xf>
    <xf numFmtId="176" fontId="21" fillId="4" borderId="0" xfId="0" applyNumberFormat="1" applyFont="1" applyFill="1" applyBorder="1" applyAlignment="1" applyProtection="1">
      <alignment/>
      <protection/>
    </xf>
    <xf numFmtId="0" fontId="20" fillId="4" borderId="0" xfId="0" applyFont="1" applyFill="1" applyBorder="1" applyAlignment="1" applyProtection="1">
      <alignment horizontal="left"/>
      <protection/>
    </xf>
    <xf numFmtId="0" fontId="20" fillId="4" borderId="0" xfId="0" applyFont="1" applyFill="1" applyAlignment="1">
      <alignment horizontal="center"/>
    </xf>
    <xf numFmtId="2" fontId="20" fillId="4" borderId="0" xfId="0" applyNumberFormat="1" applyFont="1" applyFill="1" applyBorder="1" applyAlignment="1" applyProtection="1">
      <alignment/>
      <protection/>
    </xf>
    <xf numFmtId="0" fontId="20" fillId="4" borderId="0" xfId="0" applyFont="1" applyFill="1" applyBorder="1" applyAlignment="1" applyProtection="1">
      <alignment horizontal="right"/>
      <protection/>
    </xf>
    <xf numFmtId="181" fontId="20" fillId="4" borderId="0" xfId="0" applyNumberFormat="1" applyFont="1" applyFill="1" applyBorder="1" applyAlignment="1" applyProtection="1">
      <alignment horizontal="center"/>
      <protection/>
    </xf>
    <xf numFmtId="0" fontId="20" fillId="4" borderId="0" xfId="0" applyFont="1" applyFill="1" applyAlignment="1" applyProtection="1">
      <alignment/>
      <protection/>
    </xf>
    <xf numFmtId="2" fontId="20" fillId="4" borderId="0" xfId="0" applyNumberFormat="1" applyFont="1" applyFill="1" applyAlignment="1" applyProtection="1">
      <alignment/>
      <protection/>
    </xf>
    <xf numFmtId="2" fontId="21" fillId="4" borderId="0" xfId="0" applyNumberFormat="1" applyFont="1" applyFill="1" applyBorder="1" applyAlignment="1" applyProtection="1">
      <alignment/>
      <protection/>
    </xf>
    <xf numFmtId="0" fontId="21" fillId="4" borderId="0" xfId="0" applyFont="1" applyFill="1" applyBorder="1" applyAlignment="1" applyProtection="1">
      <alignment/>
      <protection/>
    </xf>
    <xf numFmtId="0" fontId="20" fillId="4" borderId="6" xfId="0" applyFont="1" applyFill="1" applyBorder="1" applyAlignment="1">
      <alignment/>
    </xf>
    <xf numFmtId="0" fontId="20" fillId="4" borderId="6" xfId="0" applyFont="1" applyFill="1" applyBorder="1" applyAlignment="1" applyProtection="1">
      <alignment horizontal="left"/>
      <protection/>
    </xf>
    <xf numFmtId="176" fontId="20" fillId="4" borderId="6" xfId="0" applyNumberFormat="1" applyFont="1" applyFill="1" applyBorder="1" applyAlignment="1" applyProtection="1">
      <alignment horizontal="left"/>
      <protection/>
    </xf>
    <xf numFmtId="0" fontId="20" fillId="4" borderId="0" xfId="0" applyFont="1" applyFill="1" applyBorder="1" applyAlignment="1">
      <alignment/>
    </xf>
    <xf numFmtId="0" fontId="20" fillId="4" borderId="0" xfId="0" applyFont="1" applyFill="1" applyBorder="1" applyAlignment="1" applyProtection="1">
      <alignment/>
      <protection/>
    </xf>
    <xf numFmtId="177" fontId="20" fillId="4" borderId="0" xfId="0" applyNumberFormat="1" applyFont="1" applyFill="1" applyBorder="1" applyAlignment="1" applyProtection="1">
      <alignment/>
      <protection/>
    </xf>
    <xf numFmtId="0" fontId="20" fillId="4" borderId="0" xfId="0" applyFont="1" applyFill="1" applyBorder="1" applyAlignment="1">
      <alignment horizontal="left" indent="1"/>
    </xf>
    <xf numFmtId="0" fontId="20" fillId="4" borderId="0" xfId="0" applyFont="1" applyFill="1" applyBorder="1" applyAlignment="1">
      <alignment horizontal="right"/>
    </xf>
    <xf numFmtId="178" fontId="20" fillId="4" borderId="0" xfId="0" applyNumberFormat="1" applyFont="1" applyFill="1" applyBorder="1" applyAlignment="1">
      <alignment/>
    </xf>
    <xf numFmtId="0" fontId="20" fillId="4" borderId="5" xfId="0" applyFont="1" applyFill="1" applyBorder="1" applyAlignment="1" applyProtection="1">
      <alignment/>
      <protection/>
    </xf>
    <xf numFmtId="0" fontId="20" fillId="4" borderId="5" xfId="0" applyFont="1" applyFill="1" applyBorder="1" applyAlignment="1">
      <alignment horizontal="right"/>
    </xf>
    <xf numFmtId="178" fontId="20" fillId="4" borderId="5" xfId="0" applyNumberFormat="1" applyFont="1" applyFill="1" applyBorder="1" applyAlignment="1">
      <alignment/>
    </xf>
    <xf numFmtId="0" fontId="19" fillId="2" borderId="5" xfId="0" applyFont="1" applyFill="1" applyBorder="1" applyAlignment="1" applyProtection="1">
      <alignment horizontal="center"/>
      <protection/>
    </xf>
    <xf numFmtId="176" fontId="19" fillId="2" borderId="5" xfId="0" applyNumberFormat="1" applyFont="1" applyFill="1" applyBorder="1" applyAlignment="1" applyProtection="1">
      <alignment horizontal="center"/>
      <protection/>
    </xf>
    <xf numFmtId="0" fontId="6" fillId="4" borderId="0" xfId="0" applyFont="1" applyFill="1" applyAlignment="1" applyProtection="1">
      <alignment/>
      <protection/>
    </xf>
    <xf numFmtId="0" fontId="6" fillId="4" borderId="6" xfId="0" applyFont="1" applyFill="1" applyBorder="1" applyAlignment="1">
      <alignment/>
    </xf>
    <xf numFmtId="0" fontId="6" fillId="4" borderId="0" xfId="0" applyFont="1" applyFill="1" applyBorder="1" applyAlignment="1">
      <alignment/>
    </xf>
    <xf numFmtId="0" fontId="6" fillId="4" borderId="5" xfId="0" applyFont="1" applyFill="1" applyBorder="1" applyAlignment="1">
      <alignment/>
    </xf>
    <xf numFmtId="0" fontId="7" fillId="4" borderId="0" xfId="0" applyFont="1" applyFill="1" applyAlignment="1">
      <alignment/>
    </xf>
    <xf numFmtId="0" fontId="8" fillId="4" borderId="0" xfId="0" applyFont="1" applyFill="1" applyAlignment="1">
      <alignment/>
    </xf>
    <xf numFmtId="2" fontId="19" fillId="2" borderId="5" xfId="0" applyNumberFormat="1" applyFont="1" applyFill="1" applyBorder="1" applyAlignment="1" applyProtection="1">
      <alignment horizontal="center"/>
      <protection/>
    </xf>
    <xf numFmtId="0" fontId="22" fillId="4" borderId="0" xfId="0" applyFont="1" applyFill="1" applyAlignment="1">
      <alignment/>
    </xf>
    <xf numFmtId="0" fontId="22" fillId="4" borderId="0" xfId="0" applyFont="1" applyFill="1" applyBorder="1" applyAlignment="1" applyProtection="1">
      <alignment horizontal="center"/>
      <protection/>
    </xf>
    <xf numFmtId="176" fontId="22" fillId="4" borderId="0" xfId="0" applyNumberFormat="1" applyFont="1" applyFill="1" applyBorder="1" applyAlignment="1" applyProtection="1">
      <alignment/>
      <protection/>
    </xf>
    <xf numFmtId="0" fontId="22" fillId="4" borderId="5" xfId="0" applyFont="1" applyFill="1" applyBorder="1" applyAlignment="1" applyProtection="1">
      <alignment horizontal="center"/>
      <protection/>
    </xf>
    <xf numFmtId="176" fontId="22" fillId="4" borderId="5" xfId="0" applyNumberFormat="1" applyFont="1" applyFill="1" applyBorder="1" applyAlignment="1" applyProtection="1">
      <alignment/>
      <protection/>
    </xf>
    <xf numFmtId="0" fontId="23" fillId="4" borderId="0" xfId="0" applyFont="1" applyFill="1" applyAlignment="1">
      <alignment/>
    </xf>
    <xf numFmtId="0" fontId="23" fillId="4" borderId="0" xfId="0" applyFont="1" applyFill="1" applyBorder="1" applyAlignment="1" applyProtection="1">
      <alignment horizontal="center"/>
      <protection/>
    </xf>
    <xf numFmtId="176" fontId="23" fillId="4" borderId="0" xfId="0" applyNumberFormat="1" applyFont="1" applyFill="1" applyBorder="1" applyAlignment="1" applyProtection="1">
      <alignment/>
      <protection/>
    </xf>
    <xf numFmtId="0" fontId="22" fillId="4" borderId="0" xfId="0" applyFont="1" applyFill="1" applyAlignment="1">
      <alignment horizontal="center"/>
    </xf>
    <xf numFmtId="2" fontId="22" fillId="4" borderId="0" xfId="0" applyNumberFormat="1" applyFont="1" applyFill="1" applyBorder="1" applyAlignment="1" applyProtection="1">
      <alignment/>
      <protection/>
    </xf>
    <xf numFmtId="0" fontId="22" fillId="4" borderId="0" xfId="0" applyFont="1" applyFill="1" applyBorder="1" applyAlignment="1" applyProtection="1">
      <alignment horizontal="right"/>
      <protection/>
    </xf>
    <xf numFmtId="0" fontId="22" fillId="4" borderId="0" xfId="0" applyFont="1" applyFill="1" applyBorder="1" applyAlignment="1" applyProtection="1">
      <alignment horizontal="left"/>
      <protection/>
    </xf>
    <xf numFmtId="181" fontId="22" fillId="4" borderId="0" xfId="0" applyNumberFormat="1" applyFont="1" applyFill="1" applyBorder="1" applyAlignment="1" applyProtection="1">
      <alignment horizontal="center"/>
      <protection/>
    </xf>
    <xf numFmtId="0" fontId="22" fillId="4" borderId="0" xfId="0" applyFont="1" applyFill="1" applyAlignment="1" applyProtection="1">
      <alignment/>
      <protection/>
    </xf>
    <xf numFmtId="2" fontId="22" fillId="4" borderId="0" xfId="0" applyNumberFormat="1" applyFont="1" applyFill="1" applyAlignment="1" applyProtection="1">
      <alignment/>
      <protection/>
    </xf>
    <xf numFmtId="2" fontId="23" fillId="4" borderId="0" xfId="0" applyNumberFormat="1" applyFont="1" applyFill="1" applyBorder="1" applyAlignment="1" applyProtection="1">
      <alignment/>
      <protection/>
    </xf>
    <xf numFmtId="0" fontId="23" fillId="4" borderId="0" xfId="0" applyFont="1" applyFill="1" applyBorder="1" applyAlignment="1" applyProtection="1">
      <alignment/>
      <protection/>
    </xf>
    <xf numFmtId="0" fontId="23" fillId="4" borderId="5" xfId="0" applyFont="1" applyFill="1" applyBorder="1" applyAlignment="1" applyProtection="1">
      <alignment/>
      <protection/>
    </xf>
    <xf numFmtId="176" fontId="23" fillId="4" borderId="5" xfId="0" applyNumberFormat="1" applyFont="1" applyFill="1" applyBorder="1" applyAlignment="1" applyProtection="1">
      <alignment/>
      <protection/>
    </xf>
    <xf numFmtId="0" fontId="22" fillId="4" borderId="0" xfId="0" applyFont="1" applyFill="1" applyBorder="1" applyAlignment="1">
      <alignment/>
    </xf>
    <xf numFmtId="176" fontId="22" fillId="4" borderId="0" xfId="0" applyNumberFormat="1" applyFont="1" applyFill="1" applyBorder="1" applyAlignment="1" applyProtection="1">
      <alignment horizontal="left"/>
      <protection/>
    </xf>
    <xf numFmtId="0" fontId="22" fillId="4" borderId="0" xfId="0" applyFont="1" applyFill="1" applyBorder="1" applyAlignment="1" applyProtection="1">
      <alignment/>
      <protection/>
    </xf>
    <xf numFmtId="177" fontId="22" fillId="4" borderId="0" xfId="0" applyNumberFormat="1" applyFont="1" applyFill="1" applyBorder="1" applyAlignment="1" applyProtection="1">
      <alignment/>
      <protection/>
    </xf>
    <xf numFmtId="0" fontId="22" fillId="4" borderId="0" xfId="0" applyFont="1" applyFill="1" applyBorder="1" applyAlignment="1">
      <alignment horizontal="left" indent="1"/>
    </xf>
    <xf numFmtId="0" fontId="22" fillId="4" borderId="0" xfId="0" applyFont="1" applyFill="1" applyBorder="1" applyAlignment="1">
      <alignment horizontal="right"/>
    </xf>
    <xf numFmtId="0" fontId="22" fillId="4" borderId="5" xfId="0" applyFont="1" applyFill="1" applyBorder="1" applyAlignment="1" applyProtection="1">
      <alignment/>
      <protection/>
    </xf>
    <xf numFmtId="0" fontId="22" fillId="4" borderId="5" xfId="0" applyFont="1" applyFill="1" applyBorder="1" applyAlignment="1">
      <alignment horizontal="right"/>
    </xf>
    <xf numFmtId="0" fontId="22" fillId="4" borderId="5" xfId="0" applyFont="1" applyFill="1" applyBorder="1" applyAlignment="1">
      <alignment/>
    </xf>
    <xf numFmtId="0" fontId="22" fillId="4" borderId="6" xfId="0" applyFont="1" applyFill="1" applyBorder="1" applyAlignment="1">
      <alignment/>
    </xf>
    <xf numFmtId="0" fontId="22" fillId="4" borderId="6" xfId="0" applyFont="1" applyFill="1" applyBorder="1" applyAlignment="1" applyProtection="1">
      <alignment horizontal="left"/>
      <protection/>
    </xf>
    <xf numFmtId="176" fontId="22" fillId="4" borderId="6" xfId="0" applyNumberFormat="1" applyFont="1" applyFill="1" applyBorder="1" applyAlignment="1" applyProtection="1">
      <alignment horizontal="left"/>
      <protection/>
    </xf>
    <xf numFmtId="178" fontId="22" fillId="4" borderId="0" xfId="0" applyNumberFormat="1" applyFont="1" applyFill="1" applyBorder="1" applyAlignment="1">
      <alignment/>
    </xf>
    <xf numFmtId="178" fontId="22" fillId="4" borderId="5" xfId="0" applyNumberFormat="1" applyFont="1" applyFill="1" applyBorder="1" applyAlignment="1">
      <alignment/>
    </xf>
    <xf numFmtId="1" fontId="6" fillId="4" borderId="0" xfId="0" applyNumberFormat="1" applyFont="1" applyFill="1" applyAlignment="1">
      <alignment/>
    </xf>
    <xf numFmtId="1" fontId="22" fillId="4" borderId="0" xfId="0" applyNumberFormat="1" applyFont="1" applyFill="1" applyBorder="1" applyAlignment="1" applyProtection="1">
      <alignment/>
      <protection/>
    </xf>
    <xf numFmtId="1" fontId="22" fillId="4" borderId="5" xfId="0" applyNumberFormat="1" applyFont="1" applyFill="1" applyBorder="1" applyAlignment="1" applyProtection="1">
      <alignment/>
      <protection/>
    </xf>
    <xf numFmtId="2" fontId="6" fillId="2" borderId="2" xfId="0" applyNumberFormat="1" applyFont="1" applyFill="1" applyBorder="1" applyAlignment="1" applyProtection="1">
      <alignment horizontal="right"/>
      <protection/>
    </xf>
    <xf numFmtId="2" fontId="9" fillId="2" borderId="2" xfId="0" applyNumberFormat="1" applyFont="1" applyFill="1" applyBorder="1" applyAlignment="1" applyProtection="1">
      <alignment horizontal="right"/>
      <protection/>
    </xf>
    <xf numFmtId="1" fontId="6" fillId="2" borderId="4" xfId="0" applyNumberFormat="1" applyFont="1" applyFill="1" applyBorder="1" applyAlignment="1" applyProtection="1">
      <alignment horizontal="right"/>
      <protection/>
    </xf>
    <xf numFmtId="0" fontId="6" fillId="2" borderId="1" xfId="0" applyFont="1" applyFill="1" applyBorder="1" applyAlignment="1" applyProtection="1">
      <alignment horizontal="center"/>
      <protection/>
    </xf>
    <xf numFmtId="0" fontId="7" fillId="2" borderId="7" xfId="0" applyFont="1" applyFill="1" applyBorder="1" applyAlignment="1">
      <alignment horizontal="left" vertical="center" wrapText="1"/>
    </xf>
    <xf numFmtId="0" fontId="7" fillId="2" borderId="8" xfId="0"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6" fillId="2" borderId="5" xfId="0" applyFont="1" applyFill="1" applyBorder="1" applyAlignment="1" applyProtection="1">
      <alignment horizontal="center"/>
      <protection/>
    </xf>
    <xf numFmtId="0" fontId="22" fillId="4" borderId="0" xfId="0" applyFont="1" applyFill="1" applyBorder="1" applyAlignment="1">
      <alignment horizontal="left" vertical="center" wrapText="1" indent="1"/>
    </xf>
    <xf numFmtId="0" fontId="22" fillId="4" borderId="5" xfId="0" applyFont="1" applyFill="1" applyBorder="1" applyAlignment="1">
      <alignment horizontal="left" vertical="center" wrapText="1" indent="1"/>
    </xf>
    <xf numFmtId="0" fontId="6" fillId="4" borderId="0" xfId="0" applyFont="1" applyFill="1" applyAlignment="1" applyProtection="1">
      <alignment horizontal="center"/>
      <protection/>
    </xf>
    <xf numFmtId="0" fontId="6" fillId="4" borderId="0" xfId="0" applyFont="1" applyFill="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樹高成長（地位級Ⅰ）</a:t>
            </a:r>
          </a:p>
        </c:rich>
      </c:tx>
      <c:layout/>
      <c:spPr>
        <a:noFill/>
        <a:ln>
          <a:noFill/>
        </a:ln>
      </c:spPr>
    </c:title>
    <c:plotArea>
      <c:layout/>
      <c:scatterChart>
        <c:scatterStyle val="lineMarker"/>
        <c:varyColors val="0"/>
        <c:ser>
          <c:idx val="0"/>
          <c:order val="0"/>
          <c:tx>
            <c:strRef>
              <c:f>'地位級Ⅰ'!$B$7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'地位級Ⅰ'!$C$6:$L$6</c:f>
              <c:numCache/>
            </c:numRef>
          </c:xVal>
          <c:yVal>
            <c:numRef>
              <c:f>'地位級Ⅰ'!$C$7:$L$7</c:f>
              <c:numCache/>
            </c:numRef>
          </c:yVal>
          <c:smooth val="0"/>
        </c:ser>
        <c:axId val="64065712"/>
        <c:axId val="39720497"/>
      </c:scatterChart>
      <c:valAx>
        <c:axId val="64065712"/>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39720497"/>
        <c:crosses val="autoZero"/>
        <c:crossBetween val="midCat"/>
        <c:dispUnits/>
      </c:valAx>
      <c:valAx>
        <c:axId val="39720497"/>
        <c:scaling>
          <c:orientation val="minMax"/>
          <c:max val="40"/>
          <c:min val="0"/>
        </c:scaling>
        <c:axPos val="l"/>
        <c:title>
          <c:tx>
            <c:rich>
              <a:bodyPr vert="horz" rot="-5400000" anchor="ctr"/>
              <a:lstStyle/>
              <a:p>
                <a:pPr algn="ctr">
                  <a:defRPr/>
                </a:pPr>
                <a:r>
                  <a:rPr lang="en-US" cap="none" sz="800" b="0" i="0" u="none" baseline="0"/>
                  <a:t>樹高（ｍ）</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64065712"/>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樹高成長（地位級Ⅳ）</a:t>
            </a:r>
          </a:p>
        </c:rich>
      </c:tx>
      <c:layout/>
      <c:spPr>
        <a:noFill/>
        <a:ln>
          <a:noFill/>
        </a:ln>
      </c:spPr>
    </c:title>
    <c:plotArea>
      <c:layout/>
      <c:scatterChart>
        <c:scatterStyle val="lineMarker"/>
        <c:varyColors val="0"/>
        <c:ser>
          <c:idx val="0"/>
          <c:order val="0"/>
          <c:tx>
            <c:strRef>
              <c:f>'地位級Ⅳ'!$B$7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'地位級Ⅳ'!$C$6:$L$6</c:f>
              <c:numCache/>
            </c:numRef>
          </c:xVal>
          <c:yVal>
            <c:numRef>
              <c:f>'地位級Ⅳ'!$C$7:$L$7</c:f>
              <c:numCache/>
            </c:numRef>
          </c:yVal>
          <c:smooth val="0"/>
        </c:ser>
        <c:axId val="18970762"/>
        <c:axId val="36519131"/>
      </c:scatterChart>
      <c:valAx>
        <c:axId val="18970762"/>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36519131"/>
        <c:crosses val="autoZero"/>
        <c:crossBetween val="midCat"/>
        <c:dispUnits/>
      </c:valAx>
      <c:valAx>
        <c:axId val="36519131"/>
        <c:scaling>
          <c:orientation val="minMax"/>
          <c:max val="40"/>
          <c:min val="0"/>
        </c:scaling>
        <c:axPos val="l"/>
        <c:title>
          <c:tx>
            <c:rich>
              <a:bodyPr vert="horz" rot="-5400000" anchor="ctr"/>
              <a:lstStyle/>
              <a:p>
                <a:pPr algn="ctr">
                  <a:defRPr/>
                </a:pPr>
                <a:r>
                  <a:rPr lang="en-US" cap="none" sz="800" b="0" i="0" u="none" baseline="0"/>
                  <a:t>樹高（m）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18970762"/>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'地位級Ⅳ'!$B$9</c:f>
              <c:strCache>
                <c:ptCount val="1"/>
                <c:pt idx="0">
                  <c:v>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'地位級Ⅳ'!$C$6:$L$6</c:f>
              <c:numCache/>
            </c:numRef>
          </c:xVal>
          <c:yVal>
            <c:numRef>
              <c:f>'地位級Ⅳ'!$C$9:$L$9</c:f>
              <c:numCache/>
            </c:numRef>
          </c:yVal>
          <c:smooth val="0"/>
        </c:ser>
        <c:axId val="60236724"/>
        <c:axId val="5259605"/>
      </c:scatterChart>
      <c:valAx>
        <c:axId val="60236724"/>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5259605"/>
        <c:crosses val="autoZero"/>
        <c:crossBetween val="midCat"/>
        <c:dispUnits/>
      </c:valAx>
      <c:valAx>
        <c:axId val="5259605"/>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General" sourceLinked="0"/>
        <c:majorTickMark val="in"/>
        <c:minorTickMark val="none"/>
        <c:tickLblPos val="nextTo"/>
        <c:txPr>
          <a:bodyPr/>
          <a:lstStyle/>
          <a:p>
            <a:pPr>
              <a:defRPr lang="en-US" cap="none" sz="800" b="0" i="0" u="none" baseline="0"/>
            </a:pPr>
          </a:p>
        </c:txPr>
        <c:crossAx val="60236724"/>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'地位級Ⅳ'!$B$11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'地位級Ⅳ'!$C$6:$L$6</c:f>
              <c:numCache/>
            </c:numRef>
          </c:xVal>
          <c:yVal>
            <c:numRef>
              <c:f>'地位級Ⅳ'!$C$11:$L$11</c:f>
              <c:numCache/>
            </c:numRef>
          </c:yVal>
          <c:smooth val="0"/>
        </c:ser>
        <c:axId val="47336446"/>
        <c:axId val="23374831"/>
      </c:scatterChart>
      <c:valAx>
        <c:axId val="4733644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3374831"/>
        <c:crosses val="autoZero"/>
        <c:crossBetween val="midCat"/>
        <c:dispUnits/>
      </c:valAx>
      <c:valAx>
        <c:axId val="23374831"/>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7336446"/>
        <c:crosses val="autoZero"/>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樹高成長（地位級Ⅴ）　</a:t>
            </a:r>
          </a:p>
        </c:rich>
      </c:tx>
      <c:layout/>
      <c:spPr>
        <a:noFill/>
        <a:ln>
          <a:noFill/>
        </a:ln>
      </c:spPr>
    </c:title>
    <c:plotArea>
      <c:layout/>
      <c:scatterChart>
        <c:scatterStyle val="lineMarker"/>
        <c:varyColors val="0"/>
        <c:ser>
          <c:idx val="0"/>
          <c:order val="0"/>
          <c:tx>
            <c:strRef>
              <c:f>'地位級Ⅴ'!$B$7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'地位級Ⅴ'!$C$6:$L$6</c:f>
              <c:numCache/>
            </c:numRef>
          </c:xVal>
          <c:yVal>
            <c:numRef>
              <c:f>'地位級Ⅴ'!$C$7:$L$7</c:f>
              <c:numCache/>
            </c:numRef>
          </c:yVal>
          <c:smooth val="0"/>
        </c:ser>
        <c:axId val="9046888"/>
        <c:axId val="14313129"/>
      </c:scatterChart>
      <c:valAx>
        <c:axId val="9046888"/>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14313129"/>
        <c:crosses val="autoZero"/>
        <c:crossBetween val="midCat"/>
        <c:dispUnits/>
      </c:valAx>
      <c:valAx>
        <c:axId val="14313129"/>
        <c:scaling>
          <c:orientation val="minMax"/>
          <c:max val="40"/>
        </c:scaling>
        <c:axPos val="l"/>
        <c:title>
          <c:tx>
            <c:rich>
              <a:bodyPr vert="horz" rot="-5400000" anchor="ctr"/>
              <a:lstStyle/>
              <a:p>
                <a:pPr algn="ctr">
                  <a:defRPr/>
                </a:pPr>
                <a:r>
                  <a:rPr lang="en-US" cap="none" sz="800" b="0" i="0" u="none" baseline="0"/>
                  <a:t>樹高(m)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9046888"/>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'地位級Ⅴ'!$B$9</c:f>
              <c:strCache>
                <c:ptCount val="1"/>
                <c:pt idx="0">
                  <c:v>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'地位級Ⅴ'!$C$6:$L$6</c:f>
              <c:numCache/>
            </c:numRef>
          </c:xVal>
          <c:yVal>
            <c:numRef>
              <c:f>'地位級Ⅴ'!$C$9:$L$9</c:f>
              <c:numCache/>
            </c:numRef>
          </c:yVal>
          <c:smooth val="0"/>
        </c:ser>
        <c:axId val="61709298"/>
        <c:axId val="18512771"/>
      </c:scatterChart>
      <c:valAx>
        <c:axId val="61709298"/>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18512771"/>
        <c:crosses val="autoZero"/>
        <c:crossBetween val="midCat"/>
        <c:dispUnits/>
      </c:valAx>
      <c:valAx>
        <c:axId val="18512771"/>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61709298"/>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a:t>
            </a:r>
          </a:p>
        </c:rich>
      </c:tx>
      <c:layout/>
      <c:spPr>
        <a:noFill/>
        <a:ln>
          <a:noFill/>
        </a:ln>
      </c:spPr>
    </c:title>
    <c:plotArea>
      <c:layout/>
      <c:scatterChart>
        <c:scatterStyle val="lineMarker"/>
        <c:varyColors val="0"/>
        <c:ser>
          <c:idx val="3"/>
          <c:order val="0"/>
          <c:tx>
            <c:strRef>
              <c:f>'地位級Ⅴ'!$B$11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'地位級Ⅴ'!$C$6:$L$6</c:f>
              <c:numCache/>
            </c:numRef>
          </c:xVal>
          <c:yVal>
            <c:numRef>
              <c:f>'地位級Ⅴ'!$C$11:$L$11</c:f>
              <c:numCache/>
            </c:numRef>
          </c:yVal>
          <c:smooth val="0"/>
        </c:ser>
        <c:axId val="32397212"/>
        <c:axId val="23139453"/>
      </c:scatterChart>
      <c:valAx>
        <c:axId val="32397212"/>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3139453"/>
        <c:crosses val="autoZero"/>
        <c:crossBetween val="midCat"/>
        <c:dispUnits/>
      </c:valAx>
      <c:valAx>
        <c:axId val="23139453"/>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32397212"/>
        <c:crosses val="autoZero"/>
        <c:crossBetween val="midCat"/>
        <c:dispUnits/>
        <c:majorUnit val="0.2"/>
      </c:valAx>
      <c:spPr>
        <a:solidFill>
          <a:srgbClr val="FFFFC0"/>
        </a:solidFill>
        <a:ln w="12700">
          <a:solidFill>
            <a:srgbClr val="808080"/>
          </a:solidFill>
        </a:ln>
      </c:spPr>
    </c:plotArea>
    <c:plotVisOnly val="1"/>
    <c:dispBlanksAs val="gap"/>
    <c:showDLblsOverMax val="0"/>
  </c:chart>
  <c:txPr>
    <a:bodyPr vert="horz" rot="0"/>
    <a:lstStyle/>
    <a:p>
      <a:pPr>
        <a:defRPr lang="en-US" cap="none" sz="55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'地位級Ⅰ'!$B$9</c:f>
              <c:strCache>
                <c:ptCount val="1"/>
                <c:pt idx="0">
                  <c:v>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'地位級Ⅰ'!$C$6:$L$6</c:f>
              <c:numCache/>
            </c:numRef>
          </c:xVal>
          <c:yVal>
            <c:numRef>
              <c:f>'地位級Ⅰ'!$C$9:$L$9</c:f>
              <c:numCache/>
            </c:numRef>
          </c:yVal>
          <c:smooth val="0"/>
        </c:ser>
        <c:axId val="21940154"/>
        <c:axId val="63243659"/>
      </c:scatterChart>
      <c:valAx>
        <c:axId val="21940154"/>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63243659"/>
        <c:crosses val="autoZero"/>
        <c:crossBetween val="midCat"/>
        <c:dispUnits/>
      </c:valAx>
      <c:valAx>
        <c:axId val="63243659"/>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21940154"/>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'地位級Ⅰ'!$B$11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'地位級Ⅰ'!$C$6:$L$6</c:f>
              <c:numCache/>
            </c:numRef>
          </c:xVal>
          <c:yVal>
            <c:numRef>
              <c:f>'地位級Ⅰ'!$C$11:$L$11</c:f>
              <c:numCache/>
            </c:numRef>
          </c:yVal>
          <c:smooth val="0"/>
        </c:ser>
        <c:axId val="32322020"/>
        <c:axId val="22462725"/>
      </c:scatterChart>
      <c:valAx>
        <c:axId val="32322020"/>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2462725"/>
        <c:crosses val="autoZero"/>
        <c:crossBetween val="midCat"/>
        <c:dispUnits/>
      </c:valAx>
      <c:valAx>
        <c:axId val="22462725"/>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32322020"/>
        <c:crosses val="autoZero"/>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樹高成長（地位級Ⅱ）</a:t>
            </a:r>
          </a:p>
        </c:rich>
      </c:tx>
      <c:layout/>
      <c:spPr>
        <a:noFill/>
        <a:ln>
          <a:noFill/>
        </a:ln>
      </c:spPr>
    </c:title>
    <c:plotArea>
      <c:layout/>
      <c:scatterChart>
        <c:scatterStyle val="lineMarker"/>
        <c:varyColors val="0"/>
        <c:ser>
          <c:idx val="0"/>
          <c:order val="0"/>
          <c:tx>
            <c:strRef>
              <c:f>'地位級Ⅱ'!$B$7</c:f>
              <c:strCache>
                <c:ptCount val="1"/>
                <c:pt idx="0">
                  <c:v>樹高　　（m）</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'地位級Ⅱ'!$C$6:$L$6</c:f>
              <c:numCache/>
            </c:numRef>
          </c:xVal>
          <c:yVal>
            <c:numRef>
              <c:f>'地位級Ⅱ'!$C$7:$L$7</c:f>
              <c:numCache/>
            </c:numRef>
          </c:yVal>
          <c:smooth val="0"/>
        </c:ser>
        <c:axId val="837934"/>
        <c:axId val="7541407"/>
      </c:scatterChart>
      <c:valAx>
        <c:axId val="837934"/>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7541407"/>
        <c:crosses val="autoZero"/>
        <c:crossBetween val="midCat"/>
        <c:dispUnits/>
        <c:majorUnit val="50"/>
      </c:valAx>
      <c:valAx>
        <c:axId val="7541407"/>
        <c:scaling>
          <c:orientation val="minMax"/>
          <c:max val="40"/>
          <c:min val="0"/>
        </c:scaling>
        <c:axPos val="l"/>
        <c:title>
          <c:tx>
            <c:rich>
              <a:bodyPr vert="horz" rot="-5400000" anchor="ctr"/>
              <a:lstStyle/>
              <a:p>
                <a:pPr algn="ctr">
                  <a:defRPr/>
                </a:pPr>
                <a:r>
                  <a:rPr lang="en-US" cap="none" sz="800" b="0" i="0" u="none" baseline="0"/>
                  <a:t>樹高（ｍ）</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837934"/>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胸高直径変化</a:t>
            </a:r>
          </a:p>
        </c:rich>
      </c:tx>
      <c:layout/>
      <c:spPr>
        <a:noFill/>
        <a:ln>
          <a:noFill/>
        </a:ln>
      </c:spPr>
    </c:title>
    <c:plotArea>
      <c:layout/>
      <c:scatterChart>
        <c:scatterStyle val="lineMarker"/>
        <c:varyColors val="0"/>
        <c:ser>
          <c:idx val="2"/>
          <c:order val="0"/>
          <c:tx>
            <c:strRef>
              <c:f>'地位級Ⅱ'!$B$9</c:f>
              <c:strCache>
                <c:ptCount val="1"/>
                <c:pt idx="0">
                  <c:v>胸高直径(ｃｍ)</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'地位級Ⅱ'!$C$6:$L$6</c:f>
              <c:numCache/>
            </c:numRef>
          </c:xVal>
          <c:yVal>
            <c:numRef>
              <c:f>'地位級Ⅱ'!$C$9:$L$9</c:f>
              <c:numCache/>
            </c:numRef>
          </c:yVal>
          <c:smooth val="0"/>
        </c:ser>
        <c:axId val="763800"/>
        <c:axId val="6874201"/>
      </c:scatterChart>
      <c:valAx>
        <c:axId val="763800"/>
        <c:scaling>
          <c:orientation val="minMax"/>
          <c:max val="150"/>
          <c:min val="0"/>
        </c:scaling>
        <c:axPos val="b"/>
        <c:title>
          <c:tx>
            <c:rich>
              <a:bodyPr vert="horz" rot="0" anchor="ctr"/>
              <a:lstStyle/>
              <a:p>
                <a:pPr algn="ctr">
                  <a:defRPr/>
                </a:pPr>
                <a:r>
                  <a:rPr lang="en-US" cap="none" sz="800" b="0" i="0" u="none" baseline="0"/>
                  <a:t>林齢</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6874201"/>
        <c:crosses val="autoZero"/>
        <c:crossBetween val="midCat"/>
        <c:dispUnits/>
      </c:valAx>
      <c:valAx>
        <c:axId val="6874201"/>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763800"/>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収量比数変化</a:t>
            </a:r>
          </a:p>
        </c:rich>
      </c:tx>
      <c:layout/>
      <c:spPr>
        <a:noFill/>
        <a:ln>
          <a:noFill/>
        </a:ln>
      </c:spPr>
    </c:title>
    <c:plotArea>
      <c:layout/>
      <c:scatterChart>
        <c:scatterStyle val="lineMarker"/>
        <c:varyColors val="0"/>
        <c:ser>
          <c:idx val="3"/>
          <c:order val="0"/>
          <c:tx>
            <c:strRef>
              <c:f>'地位級Ⅱ'!$B$11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'地位級Ⅱ'!$C$6:$L$6</c:f>
              <c:numCache/>
            </c:numRef>
          </c:xVal>
          <c:yVal>
            <c:numRef>
              <c:f>'地位級Ⅱ'!$C$11:$L$11</c:f>
              <c:numCache/>
            </c:numRef>
          </c:yVal>
          <c:smooth val="0"/>
        </c:ser>
        <c:axId val="61867810"/>
        <c:axId val="19939379"/>
      </c:scatterChart>
      <c:valAx>
        <c:axId val="61867810"/>
        <c:scaling>
          <c:orientation val="minMax"/>
          <c:max val="150"/>
          <c:min val="0"/>
        </c:scaling>
        <c:axPos val="b"/>
        <c:title>
          <c:tx>
            <c:rich>
              <a:bodyPr vert="horz" rot="0" anchor="ctr"/>
              <a:lstStyle/>
              <a:p>
                <a:pPr algn="ctr">
                  <a:defRPr/>
                </a:pPr>
                <a:r>
                  <a:rPr lang="en-US" cap="none" sz="800" b="0" i="0" u="none" baseline="0"/>
                  <a:t>林齢</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19939379"/>
        <c:crosses val="autoZero"/>
        <c:crossBetween val="midCat"/>
        <c:dispUnits/>
      </c:valAx>
      <c:valAx>
        <c:axId val="19939379"/>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61867810"/>
        <c:crosses val="autoZero"/>
        <c:crossBetween val="midCat"/>
        <c:dispUnits/>
        <c:majorUnit val="0.2"/>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樹高成長（地位級　Ⅲ）　　</a:t>
            </a:r>
          </a:p>
        </c:rich>
      </c:tx>
      <c:layout/>
      <c:spPr>
        <a:noFill/>
        <a:ln>
          <a:noFill/>
        </a:ln>
      </c:spPr>
    </c:title>
    <c:plotArea>
      <c:layout/>
      <c:scatterChart>
        <c:scatterStyle val="lineMarker"/>
        <c:varyColors val="0"/>
        <c:ser>
          <c:idx val="0"/>
          <c:order val="0"/>
          <c:tx>
            <c:strRef>
              <c:f>'地位級Ⅲ'!$B$7</c:f>
              <c:strCache>
                <c:ptCount val="1"/>
                <c:pt idx="0">
                  <c:v>樹高　　（m）</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FF00"/>
              </a:solidFill>
              <a:ln>
                <a:solidFill>
                  <a:srgbClr val="000000"/>
                </a:solidFill>
              </a:ln>
            </c:spPr>
          </c:marker>
          <c:xVal>
            <c:numRef>
              <c:f>'地位級Ⅲ'!$C$6:$L$6</c:f>
              <c:numCache/>
            </c:numRef>
          </c:xVal>
          <c:yVal>
            <c:numRef>
              <c:f>'地位級Ⅲ'!$C$7:$L$7</c:f>
              <c:numCache/>
            </c:numRef>
          </c:yVal>
          <c:smooth val="0"/>
        </c:ser>
        <c:axId val="45236684"/>
        <c:axId val="4476973"/>
      </c:scatterChart>
      <c:valAx>
        <c:axId val="45236684"/>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4476973"/>
        <c:crosses val="autoZero"/>
        <c:crossBetween val="midCat"/>
        <c:dispUnits/>
      </c:valAx>
      <c:valAx>
        <c:axId val="4476973"/>
        <c:scaling>
          <c:orientation val="minMax"/>
          <c:max val="40"/>
          <c:min val="0"/>
        </c:scaling>
        <c:axPos val="l"/>
        <c:title>
          <c:tx>
            <c:rich>
              <a:bodyPr vert="horz" rot="-5400000" anchor="ctr"/>
              <a:lstStyle/>
              <a:p>
                <a:pPr algn="ctr">
                  <a:defRPr/>
                </a:pPr>
                <a:r>
                  <a:rPr lang="en-US" cap="none" sz="800" b="0" i="0" u="none" baseline="0"/>
                  <a:t>樹高（m）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45236684"/>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胸高直径の変化</a:t>
            </a:r>
          </a:p>
        </c:rich>
      </c:tx>
      <c:layout/>
      <c:spPr>
        <a:noFill/>
        <a:ln>
          <a:noFill/>
        </a:ln>
      </c:spPr>
    </c:title>
    <c:plotArea>
      <c:layout/>
      <c:scatterChart>
        <c:scatterStyle val="lineMarker"/>
        <c:varyColors val="0"/>
        <c:ser>
          <c:idx val="2"/>
          <c:order val="0"/>
          <c:tx>
            <c:strRef>
              <c:f>'地位級Ⅲ'!$B$9</c:f>
              <c:strCache>
                <c:ptCount val="1"/>
                <c:pt idx="0">
                  <c:v>平均胸高直径(ｃｍ)</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000000"/>
                </a:solidFill>
              </a:ln>
            </c:spPr>
          </c:marker>
          <c:xVal>
            <c:numRef>
              <c:f>'地位級Ⅲ'!$C$6:$L$6</c:f>
              <c:numCache/>
            </c:numRef>
          </c:xVal>
          <c:yVal>
            <c:numRef>
              <c:f>'地位級Ⅲ'!$C$9:$L$9</c:f>
              <c:numCache/>
            </c:numRef>
          </c:yVal>
          <c:smooth val="0"/>
        </c:ser>
        <c:axId val="40292758"/>
        <c:axId val="27090503"/>
      </c:scatterChart>
      <c:valAx>
        <c:axId val="40292758"/>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txPr>
          <a:bodyPr/>
          <a:lstStyle/>
          <a:p>
            <a:pPr>
              <a:defRPr lang="en-US" cap="none" sz="800" b="0" i="0" u="none" baseline="0"/>
            </a:pPr>
          </a:p>
        </c:txPr>
        <c:crossAx val="27090503"/>
        <c:crosses val="autoZero"/>
        <c:crossBetween val="midCat"/>
        <c:dispUnits/>
      </c:valAx>
      <c:valAx>
        <c:axId val="27090503"/>
        <c:scaling>
          <c:orientation val="minMax"/>
          <c:max val="50"/>
          <c:min val="0"/>
        </c:scaling>
        <c:axPos val="l"/>
        <c:title>
          <c:tx>
            <c:rich>
              <a:bodyPr vert="horz" rot="-5400000" anchor="ctr"/>
              <a:lstStyle/>
              <a:p>
                <a:pPr algn="ctr">
                  <a:defRPr/>
                </a:pPr>
                <a:r>
                  <a:rPr lang="en-US" cap="none" sz="800" b="0" i="0" u="none" baseline="0"/>
                  <a:t>直径(cm)</a:t>
                </a:r>
              </a:p>
            </c:rich>
          </c:tx>
          <c:layout/>
          <c:overlay val="0"/>
          <c:spPr>
            <a:noFill/>
            <a:ln>
              <a:noFill/>
            </a:ln>
          </c:spPr>
        </c:title>
        <c:majorGridlines/>
        <c:delete val="0"/>
        <c:numFmt formatCode="0" sourceLinked="0"/>
        <c:majorTickMark val="in"/>
        <c:minorTickMark val="none"/>
        <c:tickLblPos val="nextTo"/>
        <c:txPr>
          <a:bodyPr/>
          <a:lstStyle/>
          <a:p>
            <a:pPr>
              <a:defRPr lang="en-US" cap="none" sz="800" b="0" i="0" u="none" baseline="0"/>
            </a:pPr>
          </a:p>
        </c:txPr>
        <c:crossAx val="40292758"/>
        <c:crosses val="autoZero"/>
        <c:crossBetween val="midCat"/>
        <c:dispUnits/>
        <c:majorUnit val="10"/>
      </c:valAx>
      <c:spPr>
        <a:solidFill>
          <a:srgbClr val="FFFFC0"/>
        </a:solidFill>
        <a:ln w="12700">
          <a:solidFill>
            <a:srgbClr val="808080"/>
          </a:solidFill>
        </a:ln>
      </c:spPr>
    </c:plotArea>
    <c:plotVisOnly val="1"/>
    <c:dispBlanksAs val="gap"/>
    <c:showDLblsOverMax val="0"/>
  </c:chart>
  <c:txPr>
    <a:bodyPr vert="horz" rot="0"/>
    <a:lstStyle/>
    <a:p>
      <a:pPr>
        <a:defRPr lang="en-US" cap="none" sz="525"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収量比数の変化</a:t>
            </a:r>
          </a:p>
        </c:rich>
      </c:tx>
      <c:layout/>
      <c:spPr>
        <a:noFill/>
        <a:ln>
          <a:noFill/>
        </a:ln>
      </c:spPr>
    </c:title>
    <c:plotArea>
      <c:layout/>
      <c:scatterChart>
        <c:scatterStyle val="lineMarker"/>
        <c:varyColors val="0"/>
        <c:ser>
          <c:idx val="3"/>
          <c:order val="0"/>
          <c:tx>
            <c:strRef>
              <c:f>'地位級Ⅲ'!$B$11</c:f>
              <c:strCache>
                <c:ptCount val="1"/>
                <c:pt idx="0">
                  <c:v>収量比数</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FF"/>
              </a:solidFill>
              <a:ln>
                <a:solidFill>
                  <a:srgbClr val="000000"/>
                </a:solidFill>
              </a:ln>
            </c:spPr>
          </c:marker>
          <c:xVal>
            <c:numRef>
              <c:f>'地位級Ⅲ'!$C$6:$L$6</c:f>
              <c:numCache/>
            </c:numRef>
          </c:xVal>
          <c:yVal>
            <c:numRef>
              <c:f>'地位級Ⅲ'!$C$11:$L$11</c:f>
              <c:numCache/>
            </c:numRef>
          </c:yVal>
          <c:smooth val="0"/>
        </c:ser>
        <c:axId val="42487936"/>
        <c:axId val="46847105"/>
      </c:scatterChart>
      <c:valAx>
        <c:axId val="42487936"/>
        <c:scaling>
          <c:orientation val="minMax"/>
          <c:max val="150"/>
          <c:min val="0"/>
        </c:scaling>
        <c:axPos val="b"/>
        <c:title>
          <c:tx>
            <c:rich>
              <a:bodyPr vert="horz" rot="0" anchor="ctr"/>
              <a:lstStyle/>
              <a:p>
                <a:pPr algn="ctr">
                  <a:defRPr/>
                </a:pPr>
                <a:r>
                  <a:rPr lang="en-US" cap="none" sz="800" b="0" i="0" u="none" baseline="0"/>
                  <a:t>林齢（年）</a:t>
                </a:r>
              </a:p>
            </c:rich>
          </c:tx>
          <c:layout/>
          <c:overlay val="0"/>
          <c:spPr>
            <a:noFill/>
            <a:ln>
              <a:noFill/>
            </a:ln>
          </c:spPr>
        </c:title>
        <c:majorGridlines/>
        <c:delete val="0"/>
        <c:numFmt formatCode="General" sourceLinked="1"/>
        <c:majorTickMark val="in"/>
        <c:minorTickMark val="none"/>
        <c:tickLblPos val="nextTo"/>
        <c:crossAx val="46847105"/>
        <c:crosses val="autoZero"/>
        <c:crossBetween val="midCat"/>
        <c:dispUnits/>
      </c:valAx>
      <c:valAx>
        <c:axId val="46847105"/>
        <c:scaling>
          <c:orientation val="minMax"/>
          <c:max val="1.2"/>
          <c:min val="0.2"/>
        </c:scaling>
        <c:axPos val="l"/>
        <c:title>
          <c:tx>
            <c:rich>
              <a:bodyPr vert="horz" rot="-5400000" anchor="ctr"/>
              <a:lstStyle/>
              <a:p>
                <a:pPr algn="ctr">
                  <a:defRPr/>
                </a:pPr>
                <a:r>
                  <a:rPr lang="en-US" cap="none" sz="800" b="0" i="0" u="none" baseline="0"/>
                  <a:t>収量比数</a:t>
                </a:r>
              </a:p>
            </c:rich>
          </c:tx>
          <c:layout/>
          <c:overlay val="0"/>
          <c:spPr>
            <a:noFill/>
            <a:ln>
              <a:noFill/>
            </a:ln>
          </c:spPr>
        </c:title>
        <c:majorGridlines/>
        <c:delete val="0"/>
        <c:numFmt formatCode="General" sourceLinked="1"/>
        <c:majorTickMark val="in"/>
        <c:minorTickMark val="none"/>
        <c:tickLblPos val="nextTo"/>
        <c:crossAx val="42487936"/>
        <c:crosses val="autoZero"/>
        <c:crossBetween val="midCat"/>
        <c:dispUnits/>
        <c:majorUnit val="0.2"/>
      </c:valAx>
      <c:spPr>
        <a:solidFill>
          <a:srgbClr val="FFFFC0"/>
        </a:solidFill>
        <a:ln w="12700">
          <a:solidFill>
            <a:srgbClr val="808080"/>
          </a:solidFill>
        </a:ln>
      </c:spPr>
    </c:plotArea>
    <c:plotVisOnly val="1"/>
    <c:dispBlanksAs val="gap"/>
    <c:showDLblsOverMax val="0"/>
  </c:chart>
  <c:txPr>
    <a:bodyPr vert="horz" rot="0"/>
    <a:lstStyle/>
    <a:p>
      <a:pPr>
        <a:defRPr lang="en-US" cap="none" sz="5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76200</xdr:rowOff>
    </xdr:from>
    <xdr:to>
      <xdr:col>4</xdr:col>
      <xdr:colOff>47625</xdr:colOff>
      <xdr:row>26</xdr:row>
      <xdr:rowOff>0</xdr:rowOff>
    </xdr:to>
    <xdr:graphicFrame>
      <xdr:nvGraphicFramePr>
        <xdr:cNvPr id="1" name="Chart 1"/>
        <xdr:cNvGraphicFramePr/>
      </xdr:nvGraphicFramePr>
      <xdr:xfrm>
        <a:off x="66675" y="2057400"/>
        <a:ext cx="2533650" cy="1962150"/>
      </xdr:xfrm>
      <a:graphic>
        <a:graphicData uri="http://schemas.openxmlformats.org/drawingml/2006/chart">
          <c:chart xmlns:c="http://schemas.openxmlformats.org/drawingml/2006/chart" r:id="rId1"/>
        </a:graphicData>
      </a:graphic>
    </xdr:graphicFrame>
    <xdr:clientData/>
  </xdr:twoCellAnchor>
  <xdr:twoCellAnchor>
    <xdr:from>
      <xdr:col>4</xdr:col>
      <xdr:colOff>95250</xdr:colOff>
      <xdr:row>12</xdr:row>
      <xdr:rowOff>76200</xdr:rowOff>
    </xdr:from>
    <xdr:to>
      <xdr:col>8</xdr:col>
      <xdr:colOff>9525</xdr:colOff>
      <xdr:row>26</xdr:row>
      <xdr:rowOff>9525</xdr:rowOff>
    </xdr:to>
    <xdr:graphicFrame>
      <xdr:nvGraphicFramePr>
        <xdr:cNvPr id="2" name="Chart 2"/>
        <xdr:cNvGraphicFramePr/>
      </xdr:nvGraphicFramePr>
      <xdr:xfrm>
        <a:off x="2647950" y="2057400"/>
        <a:ext cx="2505075" cy="1971675"/>
      </xdr:xfrm>
      <a:graphic>
        <a:graphicData uri="http://schemas.openxmlformats.org/drawingml/2006/chart">
          <c:chart xmlns:c="http://schemas.openxmlformats.org/drawingml/2006/chart" r:id="rId2"/>
        </a:graphicData>
      </a:graphic>
    </xdr:graphicFrame>
    <xdr:clientData/>
  </xdr:twoCellAnchor>
  <xdr:twoCellAnchor>
    <xdr:from>
      <xdr:col>8</xdr:col>
      <xdr:colOff>47625</xdr:colOff>
      <xdr:row>12</xdr:row>
      <xdr:rowOff>76200</xdr:rowOff>
    </xdr:from>
    <xdr:to>
      <xdr:col>12</xdr:col>
      <xdr:colOff>0</xdr:colOff>
      <xdr:row>26</xdr:row>
      <xdr:rowOff>0</xdr:rowOff>
    </xdr:to>
    <xdr:graphicFrame>
      <xdr:nvGraphicFramePr>
        <xdr:cNvPr id="3" name="Chart 4"/>
        <xdr:cNvGraphicFramePr/>
      </xdr:nvGraphicFramePr>
      <xdr:xfrm>
        <a:off x="5191125" y="2057400"/>
        <a:ext cx="2543175" cy="19621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12</xdr:row>
      <xdr:rowOff>57150</xdr:rowOff>
    </xdr:from>
    <xdr:to>
      <xdr:col>3</xdr:col>
      <xdr:colOff>542925</xdr:colOff>
      <xdr:row>27</xdr:row>
      <xdr:rowOff>28575</xdr:rowOff>
    </xdr:to>
    <xdr:graphicFrame>
      <xdr:nvGraphicFramePr>
        <xdr:cNvPr id="1" name="Chart 1"/>
        <xdr:cNvGraphicFramePr/>
      </xdr:nvGraphicFramePr>
      <xdr:xfrm>
        <a:off x="76200" y="1981200"/>
        <a:ext cx="2600325" cy="2162175"/>
      </xdr:xfrm>
      <a:graphic>
        <a:graphicData uri="http://schemas.openxmlformats.org/drawingml/2006/chart">
          <c:chart xmlns:c="http://schemas.openxmlformats.org/drawingml/2006/chart" r:id="rId1"/>
        </a:graphicData>
      </a:graphic>
    </xdr:graphicFrame>
    <xdr:clientData/>
  </xdr:twoCellAnchor>
  <xdr:twoCellAnchor>
    <xdr:from>
      <xdr:col>3</xdr:col>
      <xdr:colOff>561975</xdr:colOff>
      <xdr:row>12</xdr:row>
      <xdr:rowOff>47625</xdr:rowOff>
    </xdr:from>
    <xdr:to>
      <xdr:col>7</xdr:col>
      <xdr:colOff>533400</xdr:colOff>
      <xdr:row>27</xdr:row>
      <xdr:rowOff>28575</xdr:rowOff>
    </xdr:to>
    <xdr:graphicFrame>
      <xdr:nvGraphicFramePr>
        <xdr:cNvPr id="2" name="Chart 2"/>
        <xdr:cNvGraphicFramePr/>
      </xdr:nvGraphicFramePr>
      <xdr:xfrm>
        <a:off x="2695575" y="1971675"/>
        <a:ext cx="2657475" cy="2171700"/>
      </xdr:xfrm>
      <a:graphic>
        <a:graphicData uri="http://schemas.openxmlformats.org/drawingml/2006/chart">
          <c:chart xmlns:c="http://schemas.openxmlformats.org/drawingml/2006/chart" r:id="rId2"/>
        </a:graphicData>
      </a:graphic>
    </xdr:graphicFrame>
    <xdr:clientData/>
  </xdr:twoCellAnchor>
  <xdr:twoCellAnchor>
    <xdr:from>
      <xdr:col>7</xdr:col>
      <xdr:colOff>581025</xdr:colOff>
      <xdr:row>12</xdr:row>
      <xdr:rowOff>47625</xdr:rowOff>
    </xdr:from>
    <xdr:to>
      <xdr:col>12</xdr:col>
      <xdr:colOff>19050</xdr:colOff>
      <xdr:row>27</xdr:row>
      <xdr:rowOff>19050</xdr:rowOff>
    </xdr:to>
    <xdr:graphicFrame>
      <xdr:nvGraphicFramePr>
        <xdr:cNvPr id="3" name="Chart 3"/>
        <xdr:cNvGraphicFramePr/>
      </xdr:nvGraphicFramePr>
      <xdr:xfrm>
        <a:off x="5400675" y="1971675"/>
        <a:ext cx="2676525" cy="216217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12</xdr:row>
      <xdr:rowOff>76200</xdr:rowOff>
    </xdr:from>
    <xdr:to>
      <xdr:col>3</xdr:col>
      <xdr:colOff>428625</xdr:colOff>
      <xdr:row>27</xdr:row>
      <xdr:rowOff>133350</xdr:rowOff>
    </xdr:to>
    <xdr:graphicFrame>
      <xdr:nvGraphicFramePr>
        <xdr:cNvPr id="1" name="Chart 1"/>
        <xdr:cNvGraphicFramePr/>
      </xdr:nvGraphicFramePr>
      <xdr:xfrm>
        <a:off x="66675" y="2009775"/>
        <a:ext cx="2609850" cy="2247900"/>
      </xdr:xfrm>
      <a:graphic>
        <a:graphicData uri="http://schemas.openxmlformats.org/drawingml/2006/chart">
          <c:chart xmlns:c="http://schemas.openxmlformats.org/drawingml/2006/chart" r:id="rId1"/>
        </a:graphicData>
      </a:graphic>
    </xdr:graphicFrame>
    <xdr:clientData/>
  </xdr:twoCellAnchor>
  <xdr:twoCellAnchor>
    <xdr:from>
      <xdr:col>3</xdr:col>
      <xdr:colOff>419100</xdr:colOff>
      <xdr:row>12</xdr:row>
      <xdr:rowOff>76200</xdr:rowOff>
    </xdr:from>
    <xdr:to>
      <xdr:col>7</xdr:col>
      <xdr:colOff>476250</xdr:colOff>
      <xdr:row>27</xdr:row>
      <xdr:rowOff>142875</xdr:rowOff>
    </xdr:to>
    <xdr:graphicFrame>
      <xdr:nvGraphicFramePr>
        <xdr:cNvPr id="2" name="Chart 2"/>
        <xdr:cNvGraphicFramePr/>
      </xdr:nvGraphicFramePr>
      <xdr:xfrm>
        <a:off x="2667000" y="2009775"/>
        <a:ext cx="2743200" cy="2257425"/>
      </xdr:xfrm>
      <a:graphic>
        <a:graphicData uri="http://schemas.openxmlformats.org/drawingml/2006/chart">
          <c:chart xmlns:c="http://schemas.openxmlformats.org/drawingml/2006/chart" r:id="rId2"/>
        </a:graphicData>
      </a:graphic>
    </xdr:graphicFrame>
    <xdr:clientData/>
  </xdr:twoCellAnchor>
  <xdr:twoCellAnchor>
    <xdr:from>
      <xdr:col>7</xdr:col>
      <xdr:colOff>533400</xdr:colOff>
      <xdr:row>12</xdr:row>
      <xdr:rowOff>57150</xdr:rowOff>
    </xdr:from>
    <xdr:to>
      <xdr:col>12</xdr:col>
      <xdr:colOff>66675</xdr:colOff>
      <xdr:row>27</xdr:row>
      <xdr:rowOff>123825</xdr:rowOff>
    </xdr:to>
    <xdr:graphicFrame>
      <xdr:nvGraphicFramePr>
        <xdr:cNvPr id="3" name="Chart 3"/>
        <xdr:cNvGraphicFramePr/>
      </xdr:nvGraphicFramePr>
      <xdr:xfrm>
        <a:off x="5467350" y="1990725"/>
        <a:ext cx="2771775" cy="2257425"/>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12</xdr:row>
      <xdr:rowOff>28575</xdr:rowOff>
    </xdr:from>
    <xdr:to>
      <xdr:col>3</xdr:col>
      <xdr:colOff>533400</xdr:colOff>
      <xdr:row>26</xdr:row>
      <xdr:rowOff>47625</xdr:rowOff>
    </xdr:to>
    <xdr:graphicFrame>
      <xdr:nvGraphicFramePr>
        <xdr:cNvPr id="1" name="Chart 1"/>
        <xdr:cNvGraphicFramePr/>
      </xdr:nvGraphicFramePr>
      <xdr:xfrm>
        <a:off x="114300" y="1981200"/>
        <a:ext cx="2638425" cy="2057400"/>
      </xdr:xfrm>
      <a:graphic>
        <a:graphicData uri="http://schemas.openxmlformats.org/drawingml/2006/chart">
          <c:chart xmlns:c="http://schemas.openxmlformats.org/drawingml/2006/chart" r:id="rId1"/>
        </a:graphicData>
      </a:graphic>
    </xdr:graphicFrame>
    <xdr:clientData/>
  </xdr:twoCellAnchor>
  <xdr:twoCellAnchor>
    <xdr:from>
      <xdr:col>3</xdr:col>
      <xdr:colOff>542925</xdr:colOff>
      <xdr:row>12</xdr:row>
      <xdr:rowOff>28575</xdr:rowOff>
    </xdr:from>
    <xdr:to>
      <xdr:col>7</xdr:col>
      <xdr:colOff>542925</xdr:colOff>
      <xdr:row>26</xdr:row>
      <xdr:rowOff>28575</xdr:rowOff>
    </xdr:to>
    <xdr:graphicFrame>
      <xdr:nvGraphicFramePr>
        <xdr:cNvPr id="2" name="Chart 2"/>
        <xdr:cNvGraphicFramePr/>
      </xdr:nvGraphicFramePr>
      <xdr:xfrm>
        <a:off x="2762250" y="1981200"/>
        <a:ext cx="2686050" cy="2038350"/>
      </xdr:xfrm>
      <a:graphic>
        <a:graphicData uri="http://schemas.openxmlformats.org/drawingml/2006/chart">
          <c:chart xmlns:c="http://schemas.openxmlformats.org/drawingml/2006/chart" r:id="rId2"/>
        </a:graphicData>
      </a:graphic>
    </xdr:graphicFrame>
    <xdr:clientData/>
  </xdr:twoCellAnchor>
  <xdr:twoCellAnchor>
    <xdr:from>
      <xdr:col>7</xdr:col>
      <xdr:colOff>571500</xdr:colOff>
      <xdr:row>12</xdr:row>
      <xdr:rowOff>38100</xdr:rowOff>
    </xdr:from>
    <xdr:to>
      <xdr:col>11</xdr:col>
      <xdr:colOff>542925</xdr:colOff>
      <xdr:row>26</xdr:row>
      <xdr:rowOff>47625</xdr:rowOff>
    </xdr:to>
    <xdr:graphicFrame>
      <xdr:nvGraphicFramePr>
        <xdr:cNvPr id="3" name="Chart 3"/>
        <xdr:cNvGraphicFramePr/>
      </xdr:nvGraphicFramePr>
      <xdr:xfrm>
        <a:off x="5476875" y="1990725"/>
        <a:ext cx="2562225" cy="20478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12</xdr:row>
      <xdr:rowOff>95250</xdr:rowOff>
    </xdr:from>
    <xdr:to>
      <xdr:col>3</xdr:col>
      <xdr:colOff>561975</xdr:colOff>
      <xdr:row>27</xdr:row>
      <xdr:rowOff>114300</xdr:rowOff>
    </xdr:to>
    <xdr:graphicFrame>
      <xdr:nvGraphicFramePr>
        <xdr:cNvPr id="1" name="Chart 1"/>
        <xdr:cNvGraphicFramePr/>
      </xdr:nvGraphicFramePr>
      <xdr:xfrm>
        <a:off x="161925" y="2190750"/>
        <a:ext cx="2657475" cy="2209800"/>
      </xdr:xfrm>
      <a:graphic>
        <a:graphicData uri="http://schemas.openxmlformats.org/drawingml/2006/chart">
          <c:chart xmlns:c="http://schemas.openxmlformats.org/drawingml/2006/chart" r:id="rId1"/>
        </a:graphicData>
      </a:graphic>
    </xdr:graphicFrame>
    <xdr:clientData/>
  </xdr:twoCellAnchor>
  <xdr:twoCellAnchor>
    <xdr:from>
      <xdr:col>3</xdr:col>
      <xdr:colOff>571500</xdr:colOff>
      <xdr:row>12</xdr:row>
      <xdr:rowOff>95250</xdr:rowOff>
    </xdr:from>
    <xdr:to>
      <xdr:col>7</xdr:col>
      <xdr:colOff>428625</xdr:colOff>
      <xdr:row>27</xdr:row>
      <xdr:rowOff>142875</xdr:rowOff>
    </xdr:to>
    <xdr:graphicFrame>
      <xdr:nvGraphicFramePr>
        <xdr:cNvPr id="2" name="Chart 2"/>
        <xdr:cNvGraphicFramePr/>
      </xdr:nvGraphicFramePr>
      <xdr:xfrm>
        <a:off x="2828925" y="2190750"/>
        <a:ext cx="2543175" cy="2238375"/>
      </xdr:xfrm>
      <a:graphic>
        <a:graphicData uri="http://schemas.openxmlformats.org/drawingml/2006/chart">
          <c:chart xmlns:c="http://schemas.openxmlformats.org/drawingml/2006/chart" r:id="rId2"/>
        </a:graphicData>
      </a:graphic>
    </xdr:graphicFrame>
    <xdr:clientData/>
  </xdr:twoCellAnchor>
  <xdr:twoCellAnchor>
    <xdr:from>
      <xdr:col>7</xdr:col>
      <xdr:colOff>466725</xdr:colOff>
      <xdr:row>12</xdr:row>
      <xdr:rowOff>85725</xdr:rowOff>
    </xdr:from>
    <xdr:to>
      <xdr:col>12</xdr:col>
      <xdr:colOff>0</xdr:colOff>
      <xdr:row>28</xdr:row>
      <xdr:rowOff>19050</xdr:rowOff>
    </xdr:to>
    <xdr:graphicFrame>
      <xdr:nvGraphicFramePr>
        <xdr:cNvPr id="3" name="Chart 3"/>
        <xdr:cNvGraphicFramePr/>
      </xdr:nvGraphicFramePr>
      <xdr:xfrm>
        <a:off x="5410200" y="2181225"/>
        <a:ext cx="2771775" cy="227647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4"/>
  <sheetViews>
    <sheetView workbookViewId="0" topLeftCell="A1">
      <selection activeCell="C4" sqref="C4"/>
    </sheetView>
  </sheetViews>
  <sheetFormatPr defaultColWidth="8.66015625" defaultRowHeight="18"/>
  <cols>
    <col min="1" max="1" width="67.58203125" style="18" customWidth="1"/>
    <col min="2" max="16384" width="8.83203125" style="18" customWidth="1"/>
  </cols>
  <sheetData>
    <row r="1" ht="17.25">
      <c r="A1" s="10"/>
    </row>
    <row r="2" s="19" customFormat="1" ht="17.25">
      <c r="A2" s="11" t="s">
        <v>53</v>
      </c>
    </row>
    <row r="3" s="19" customFormat="1" ht="11.25" customHeight="1">
      <c r="A3" s="12"/>
    </row>
    <row r="4" s="20" customFormat="1" ht="84" customHeight="1">
      <c r="A4" s="13" t="s">
        <v>57</v>
      </c>
    </row>
    <row r="5" s="20" customFormat="1" ht="6.75" customHeight="1">
      <c r="A5" s="14"/>
    </row>
    <row r="6" s="20" customFormat="1" ht="59.25" customHeight="1">
      <c r="A6" s="13" t="s">
        <v>54</v>
      </c>
    </row>
    <row r="7" s="20" customFormat="1" ht="13.5">
      <c r="A7" s="14"/>
    </row>
    <row r="8" s="20" customFormat="1" ht="70.5" customHeight="1">
      <c r="A8" s="15" t="s">
        <v>55</v>
      </c>
    </row>
    <row r="9" s="20" customFormat="1" ht="9" customHeight="1">
      <c r="A9" s="14"/>
    </row>
    <row r="10" s="20" customFormat="1" ht="59.25" customHeight="1">
      <c r="A10" s="15" t="s">
        <v>56</v>
      </c>
    </row>
    <row r="11" s="21" customFormat="1" ht="14.25">
      <c r="A11" s="16"/>
    </row>
    <row r="12" s="21" customFormat="1" ht="14.25">
      <c r="A12" s="17" t="s">
        <v>45</v>
      </c>
    </row>
    <row r="13" s="21" customFormat="1" ht="14.25">
      <c r="A13" s="16"/>
    </row>
    <row r="14" s="21" customFormat="1" ht="14.25">
      <c r="A14" s="16"/>
    </row>
    <row r="15" s="21" customFormat="1" ht="14.25"/>
    <row r="16" s="21" customFormat="1" ht="14.25"/>
    <row r="17" s="21" customFormat="1" ht="14.25"/>
  </sheetData>
  <sheetProtection sheet="1" objects="1" scenarios="1"/>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40"/>
  <sheetViews>
    <sheetView workbookViewId="0" topLeftCell="A4">
      <selection activeCell="E4" sqref="E4"/>
    </sheetView>
  </sheetViews>
  <sheetFormatPr defaultColWidth="8.66015625" defaultRowHeight="18"/>
  <cols>
    <col min="1" max="1" width="1.07421875" style="2" customWidth="1"/>
    <col min="2" max="2" width="10.91015625" style="2" customWidth="1"/>
    <col min="3" max="3" width="4.66015625" style="2" customWidth="1"/>
    <col min="4" max="12" width="5.66015625" style="2" customWidth="1"/>
    <col min="13" max="13" width="3.83203125" style="2" customWidth="1"/>
    <col min="14" max="16384" width="8.66015625" style="2" customWidth="1"/>
  </cols>
  <sheetData>
    <row r="1" spans="1:13" ht="15.75" customHeight="1" thickBot="1">
      <c r="A1" s="47"/>
      <c r="B1" s="47"/>
      <c r="C1" s="47"/>
      <c r="D1" s="47"/>
      <c r="E1" s="47"/>
      <c r="F1" s="47"/>
      <c r="G1" s="47"/>
      <c r="H1" s="47"/>
      <c r="I1" s="47"/>
      <c r="J1" s="47"/>
      <c r="K1" s="47"/>
      <c r="L1" s="47"/>
      <c r="M1" s="47"/>
    </row>
    <row r="2" spans="1:13" ht="12" customHeight="1">
      <c r="A2" s="47"/>
      <c r="B2" s="44" t="s">
        <v>44</v>
      </c>
      <c r="C2" s="27"/>
      <c r="D2" s="126" t="s">
        <v>37</v>
      </c>
      <c r="E2" s="126"/>
      <c r="F2" s="126"/>
      <c r="G2" s="126"/>
      <c r="H2" s="27"/>
      <c r="I2" s="127" t="s">
        <v>43</v>
      </c>
      <c r="J2" s="128"/>
      <c r="K2" s="128"/>
      <c r="L2" s="129"/>
      <c r="M2" s="47"/>
    </row>
    <row r="3" spans="1:13" ht="12">
      <c r="A3" s="48"/>
      <c r="B3" s="27"/>
      <c r="C3" s="27"/>
      <c r="D3" s="31" t="s">
        <v>29</v>
      </c>
      <c r="E3" s="31" t="s">
        <v>39</v>
      </c>
      <c r="F3" s="31" t="s">
        <v>40</v>
      </c>
      <c r="G3" s="31" t="s">
        <v>38</v>
      </c>
      <c r="H3" s="27"/>
      <c r="I3" s="130"/>
      <c r="J3" s="131"/>
      <c r="K3" s="131"/>
      <c r="L3" s="132"/>
      <c r="M3" s="47"/>
    </row>
    <row r="4" spans="1:13" ht="12.75" thickBot="1">
      <c r="A4" s="48"/>
      <c r="B4" s="27"/>
      <c r="C4" s="27"/>
      <c r="D4" s="78" t="s">
        <v>46</v>
      </c>
      <c r="E4" s="23">
        <v>50</v>
      </c>
      <c r="F4" s="79">
        <f>($C$38)*(1-($D$38)*EXP(-$E$38*(E4)))+(1.96*I20)</f>
        <v>27.27085489330104</v>
      </c>
      <c r="G4" s="23">
        <v>300</v>
      </c>
      <c r="H4" s="27"/>
      <c r="I4" s="133"/>
      <c r="J4" s="134"/>
      <c r="K4" s="134"/>
      <c r="L4" s="135"/>
      <c r="M4" s="47"/>
    </row>
    <row r="5" spans="1:13" ht="19.5" customHeight="1">
      <c r="A5" s="47"/>
      <c r="B5" s="24" t="s">
        <v>42</v>
      </c>
      <c r="C5" s="42"/>
      <c r="D5" s="42"/>
      <c r="E5" s="42"/>
      <c r="F5" s="27"/>
      <c r="G5" s="28"/>
      <c r="H5" s="29"/>
      <c r="I5" s="29"/>
      <c r="J5" s="30"/>
      <c r="K5" s="29"/>
      <c r="L5" s="29"/>
      <c r="M5" s="47"/>
    </row>
    <row r="6" spans="1:13" ht="12">
      <c r="A6" s="47"/>
      <c r="B6" s="31" t="s">
        <v>33</v>
      </c>
      <c r="C6" s="32">
        <f>E4*1</f>
        <v>50</v>
      </c>
      <c r="D6" s="6">
        <f>J21*1</f>
        <v>55</v>
      </c>
      <c r="E6" s="6">
        <f>J22*1</f>
        <v>60</v>
      </c>
      <c r="F6" s="6">
        <f>J23*1</f>
        <v>65</v>
      </c>
      <c r="G6" s="6">
        <f>J24*1</f>
        <v>70</v>
      </c>
      <c r="H6" s="6">
        <f>J25*1</f>
        <v>75</v>
      </c>
      <c r="I6" s="6">
        <f>J26*1</f>
        <v>80</v>
      </c>
      <c r="J6" s="6">
        <f>J27*1</f>
        <v>85</v>
      </c>
      <c r="K6" s="6">
        <f>J28*1</f>
        <v>90</v>
      </c>
      <c r="L6" s="6">
        <f>J29*1</f>
        <v>95</v>
      </c>
      <c r="M6" s="47"/>
    </row>
    <row r="7" spans="1:13" ht="12">
      <c r="A7" s="47"/>
      <c r="B7" s="33" t="s">
        <v>32</v>
      </c>
      <c r="C7" s="34">
        <f>F4*1</f>
        <v>27.27085489330104</v>
      </c>
      <c r="D7" s="7">
        <f>K21*1</f>
        <v>28.191306239399296</v>
      </c>
      <c r="E7" s="7">
        <f>K22*1</f>
        <v>28.958724468941757</v>
      </c>
      <c r="F7" s="7">
        <f>K23*1</f>
        <v>29.601803673960973</v>
      </c>
      <c r="G7" s="7">
        <f>K24*1</f>
        <v>30.143647923269484</v>
      </c>
      <c r="H7" s="7">
        <f>K25*1</f>
        <v>30.60290012351575</v>
      </c>
      <c r="I7" s="7">
        <f>K26*1</f>
        <v>30.99462958991799</v>
      </c>
      <c r="J7" s="7">
        <f>K27*1</f>
        <v>31.331035206337404</v>
      </c>
      <c r="K7" s="7">
        <f>K28*1</f>
        <v>31.62200544721175</v>
      </c>
      <c r="L7" s="7">
        <f>K29*1</f>
        <v>31.87556610097298</v>
      </c>
      <c r="M7" s="47"/>
    </row>
    <row r="8" spans="1:13" ht="12">
      <c r="A8" s="47"/>
      <c r="B8" s="35" t="s">
        <v>31</v>
      </c>
      <c r="C8" s="36">
        <f>G4*1</f>
        <v>300</v>
      </c>
      <c r="D8" s="8">
        <f aca="true" t="shared" si="0" ref="D8:L8">C8*1</f>
        <v>300</v>
      </c>
      <c r="E8" s="8">
        <f t="shared" si="0"/>
        <v>300</v>
      </c>
      <c r="F8" s="8">
        <f t="shared" si="0"/>
        <v>300</v>
      </c>
      <c r="G8" s="8">
        <f t="shared" si="0"/>
        <v>300</v>
      </c>
      <c r="H8" s="8">
        <f t="shared" si="0"/>
        <v>300</v>
      </c>
      <c r="I8" s="8">
        <f t="shared" si="0"/>
        <v>300</v>
      </c>
      <c r="J8" s="8">
        <f t="shared" si="0"/>
        <v>300</v>
      </c>
      <c r="K8" s="8">
        <f t="shared" si="0"/>
        <v>300</v>
      </c>
      <c r="L8" s="8">
        <f t="shared" si="0"/>
        <v>300</v>
      </c>
      <c r="M8" s="47"/>
    </row>
    <row r="9" spans="1:13" ht="12">
      <c r="A9" s="47"/>
      <c r="B9" s="35" t="s">
        <v>34</v>
      </c>
      <c r="C9" s="37">
        <f aca="true" t="shared" si="1" ref="C9:L9">($G$32)+($G$33)*(C15)+($G$34)*SQRT(C8)*(C7)/100</f>
        <v>34.03313532606612</v>
      </c>
      <c r="D9" s="22">
        <f t="shared" si="1"/>
        <v>34.677527683898084</v>
      </c>
      <c r="E9" s="22">
        <f t="shared" si="1"/>
        <v>35.196034716622734</v>
      </c>
      <c r="F9" s="22">
        <f t="shared" si="1"/>
        <v>35.61794121616113</v>
      </c>
      <c r="G9" s="22">
        <f t="shared" si="1"/>
        <v>35.96482683057373</v>
      </c>
      <c r="H9" s="22">
        <f t="shared" si="1"/>
        <v>36.25285733362706</v>
      </c>
      <c r="I9" s="22">
        <f t="shared" si="1"/>
        <v>36.49431146524004</v>
      </c>
      <c r="J9" s="22">
        <f t="shared" si="1"/>
        <v>36.69862458634578</v>
      </c>
      <c r="K9" s="22">
        <f t="shared" si="1"/>
        <v>36.87311849303642</v>
      </c>
      <c r="L9" s="22">
        <f t="shared" si="1"/>
        <v>37.023522212217344</v>
      </c>
      <c r="M9" s="47"/>
    </row>
    <row r="10" spans="1:13" ht="12">
      <c r="A10" s="47"/>
      <c r="B10" s="38" t="s">
        <v>36</v>
      </c>
      <c r="C10" s="39">
        <f aca="true" t="shared" si="2" ref="C10:L10">($C$32*(C7)^($C$33)+($C$34)*(C7)^($C$35)/(C8))^(-1)</f>
        <v>380.5182171096383</v>
      </c>
      <c r="D10" s="9">
        <f t="shared" si="2"/>
        <v>407.75176573742806</v>
      </c>
      <c r="E10" s="9">
        <f t="shared" si="2"/>
        <v>430.93396455326507</v>
      </c>
      <c r="F10" s="9">
        <f t="shared" si="2"/>
        <v>450.67986937671884</v>
      </c>
      <c r="G10" s="9">
        <f t="shared" si="2"/>
        <v>467.53575878035286</v>
      </c>
      <c r="H10" s="9">
        <f t="shared" si="2"/>
        <v>481.97417221889935</v>
      </c>
      <c r="I10" s="9">
        <f t="shared" si="2"/>
        <v>494.39710019386104</v>
      </c>
      <c r="J10" s="9">
        <f t="shared" si="2"/>
        <v>505.1427682681779</v>
      </c>
      <c r="K10" s="9">
        <f t="shared" si="2"/>
        <v>514.4936291140082</v>
      </c>
      <c r="L10" s="9">
        <f t="shared" si="2"/>
        <v>522.6843475179035</v>
      </c>
      <c r="M10" s="47"/>
    </row>
    <row r="11" spans="1:13" ht="12">
      <c r="A11" s="47"/>
      <c r="B11" s="33" t="s">
        <v>30</v>
      </c>
      <c r="C11" s="124">
        <f aca="true" t="shared" si="3" ref="C11:L11">IF(C10/C17&gt;=0.99,"1以上",C10/C17)</f>
        <v>0.6857460687296173</v>
      </c>
      <c r="D11" s="124">
        <f t="shared" si="3"/>
        <v>0.7043863214753655</v>
      </c>
      <c r="E11" s="124">
        <f t="shared" si="3"/>
        <v>0.7193835416024201</v>
      </c>
      <c r="F11" s="124">
        <f t="shared" si="3"/>
        <v>0.7315793382673985</v>
      </c>
      <c r="G11" s="124">
        <f t="shared" si="3"/>
        <v>0.7415980497046528</v>
      </c>
      <c r="H11" s="124">
        <f t="shared" si="3"/>
        <v>0.749909040528618</v>
      </c>
      <c r="I11" s="124">
        <f t="shared" si="3"/>
        <v>0.7568693800731977</v>
      </c>
      <c r="J11" s="124">
        <f t="shared" si="3"/>
        <v>0.7627535533888931</v>
      </c>
      <c r="K11" s="124">
        <f t="shared" si="3"/>
        <v>0.7677744860749369</v>
      </c>
      <c r="L11" s="124">
        <f t="shared" si="3"/>
        <v>0.7720986595981221</v>
      </c>
      <c r="M11" s="47"/>
    </row>
    <row r="12" spans="1:13" ht="12">
      <c r="A12" s="47"/>
      <c r="B12" s="38" t="s">
        <v>58</v>
      </c>
      <c r="C12" s="125">
        <f>+C7/C9*100</f>
        <v>80.1303042814694</v>
      </c>
      <c r="D12" s="125">
        <f aca="true" t="shared" si="4" ref="D12:L12">+D7/D9*100</f>
        <v>81.29560589317745</v>
      </c>
      <c r="E12" s="125">
        <f t="shared" si="4"/>
        <v>82.27837227147876</v>
      </c>
      <c r="F12" s="125">
        <f t="shared" si="4"/>
        <v>83.10924961752023</v>
      </c>
      <c r="G12" s="125">
        <f t="shared" si="4"/>
        <v>83.81424458199905</v>
      </c>
      <c r="H12" s="125">
        <f t="shared" si="4"/>
        <v>84.41513958991976</v>
      </c>
      <c r="I12" s="125">
        <f t="shared" si="4"/>
        <v>84.93002976488442</v>
      </c>
      <c r="J12" s="125">
        <f t="shared" si="4"/>
        <v>85.37386771163773</v>
      </c>
      <c r="K12" s="125">
        <f t="shared" si="4"/>
        <v>85.7589668017465</v>
      </c>
      <c r="L12" s="125">
        <f t="shared" si="4"/>
        <v>86.09544472366382</v>
      </c>
      <c r="M12" s="47"/>
    </row>
    <row r="13" spans="1:13" s="5" customFormat="1" ht="10.5">
      <c r="A13" s="49"/>
      <c r="B13" s="50" t="s">
        <v>2</v>
      </c>
      <c r="C13" s="51">
        <f aca="true" t="shared" si="5" ref="C13:L13">C10/C14</f>
        <v>28.524495191762657</v>
      </c>
      <c r="D13" s="51">
        <f t="shared" si="5"/>
        <v>29.609893097705143</v>
      </c>
      <c r="E13" s="51">
        <f t="shared" si="5"/>
        <v>30.497967610796678</v>
      </c>
      <c r="F13" s="51">
        <f t="shared" si="5"/>
        <v>31.23027175335734</v>
      </c>
      <c r="G13" s="51">
        <f t="shared" si="5"/>
        <v>31.838869956396053</v>
      </c>
      <c r="H13" s="51">
        <f t="shared" si="5"/>
        <v>32.34867179900998</v>
      </c>
      <c r="I13" s="51">
        <f t="shared" si="5"/>
        <v>32.77915532333848</v>
      </c>
      <c r="J13" s="51">
        <f t="shared" si="5"/>
        <v>33.14564349105503</v>
      </c>
      <c r="K13" s="51">
        <f t="shared" si="5"/>
        <v>33.460256281960184</v>
      </c>
      <c r="L13" s="51">
        <f t="shared" si="5"/>
        <v>33.7326269228762</v>
      </c>
      <c r="M13" s="49"/>
    </row>
    <row r="14" spans="1:13" s="5" customFormat="1" ht="10.5">
      <c r="A14" s="49"/>
      <c r="B14" s="50" t="s">
        <v>1</v>
      </c>
      <c r="C14" s="51">
        <f aca="true" t="shared" si="6" ref="C14:L14">($E$32)+($E$33)*(C7)+($E$34)*SQRT(C8)*(C7)/100</f>
        <v>13.34005087737801</v>
      </c>
      <c r="D14" s="51">
        <f t="shared" si="6"/>
        <v>13.770794929652416</v>
      </c>
      <c r="E14" s="51">
        <f t="shared" si="6"/>
        <v>14.129924001909846</v>
      </c>
      <c r="F14" s="51">
        <f t="shared" si="6"/>
        <v>14.430866081985647</v>
      </c>
      <c r="G14" s="51">
        <f t="shared" si="6"/>
        <v>14.684433191901977</v>
      </c>
      <c r="H14" s="51">
        <f t="shared" si="6"/>
        <v>14.899349661510678</v>
      </c>
      <c r="I14" s="51">
        <f t="shared" si="6"/>
        <v>15.082667485389855</v>
      </c>
      <c r="J14" s="51">
        <f t="shared" si="6"/>
        <v>15.2400953809963</v>
      </c>
      <c r="K14" s="51">
        <f t="shared" si="6"/>
        <v>15.37626086239492</v>
      </c>
      <c r="L14" s="51">
        <f t="shared" si="6"/>
        <v>15.494919761598483</v>
      </c>
      <c r="M14" s="49"/>
    </row>
    <row r="15" spans="1:13" s="5" customFormat="1" ht="10.5">
      <c r="A15" s="49"/>
      <c r="B15" s="50" t="s">
        <v>3</v>
      </c>
      <c r="C15" s="51">
        <f aca="true" t="shared" si="7" ref="C15:L15">200*SQRT(C13/3.14159/C8)</f>
        <v>34.79393910282058</v>
      </c>
      <c r="D15" s="51">
        <f t="shared" si="7"/>
        <v>35.44973843422296</v>
      </c>
      <c r="E15" s="51">
        <f t="shared" si="7"/>
        <v>35.977424030204105</v>
      </c>
      <c r="F15" s="51">
        <f t="shared" si="7"/>
        <v>36.406799079347294</v>
      </c>
      <c r="G15" s="51">
        <f t="shared" si="7"/>
        <v>36.7598252306354</v>
      </c>
      <c r="H15" s="51">
        <f t="shared" si="7"/>
        <v>37.05295442285826</v>
      </c>
      <c r="I15" s="51">
        <f t="shared" si="7"/>
        <v>37.29868275304653</v>
      </c>
      <c r="J15" s="51">
        <f t="shared" si="7"/>
        <v>37.5066126060148</v>
      </c>
      <c r="K15" s="51">
        <f t="shared" si="7"/>
        <v>37.68419538760848</v>
      </c>
      <c r="L15" s="51">
        <f t="shared" si="7"/>
        <v>37.83726153943426</v>
      </c>
      <c r="M15" s="49"/>
    </row>
    <row r="16" spans="1:13" s="5" customFormat="1" ht="10.5">
      <c r="A16" s="49"/>
      <c r="B16" s="50" t="s">
        <v>4</v>
      </c>
      <c r="C16" s="51">
        <f aca="true" t="shared" si="8" ref="C16:L16">10^(($I$32)+($I$34)*LOG(C7)/LOG(10))</f>
        <v>941.6555099191879</v>
      </c>
      <c r="D16" s="51">
        <f t="shared" si="8"/>
        <v>887.6221353576792</v>
      </c>
      <c r="E16" s="51">
        <f t="shared" si="8"/>
        <v>846.1817400322312</v>
      </c>
      <c r="F16" s="51">
        <f t="shared" si="8"/>
        <v>813.734872098386</v>
      </c>
      <c r="G16" s="51">
        <f t="shared" si="8"/>
        <v>787.8785712196919</v>
      </c>
      <c r="H16" s="51">
        <f t="shared" si="8"/>
        <v>766.95382643674</v>
      </c>
      <c r="I16" s="51">
        <f t="shared" si="8"/>
        <v>749.7832278158695</v>
      </c>
      <c r="J16" s="51">
        <f t="shared" si="8"/>
        <v>735.5118857415972</v>
      </c>
      <c r="K16" s="51">
        <f t="shared" si="8"/>
        <v>723.5071938363368</v>
      </c>
      <c r="L16" s="51">
        <f t="shared" si="8"/>
        <v>713.2935390742858</v>
      </c>
      <c r="M16" s="49"/>
    </row>
    <row r="17" spans="1:13" s="5" customFormat="1" ht="10.5">
      <c r="A17" s="49"/>
      <c r="B17" s="52" t="s">
        <v>5</v>
      </c>
      <c r="C17" s="53">
        <f aca="true" t="shared" si="9" ref="C17:L17">(($C$32)*(C7)^($C$33)+($C$34)*(C7)^($C$35)/(C16))^(-1)</f>
        <v>554.8966803624108</v>
      </c>
      <c r="D17" s="53">
        <f t="shared" si="9"/>
        <v>578.8751900851447</v>
      </c>
      <c r="E17" s="53">
        <f t="shared" si="9"/>
        <v>599.0322819915558</v>
      </c>
      <c r="F17" s="53">
        <f t="shared" si="9"/>
        <v>616.0369023598524</v>
      </c>
      <c r="G17" s="53">
        <f t="shared" si="9"/>
        <v>630.4436196488821</v>
      </c>
      <c r="H17" s="53">
        <f t="shared" si="9"/>
        <v>642.7101770624757</v>
      </c>
      <c r="I17" s="53">
        <f t="shared" si="9"/>
        <v>653.2132402371032</v>
      </c>
      <c r="J17" s="53">
        <f t="shared" si="9"/>
        <v>662.2620976642357</v>
      </c>
      <c r="K17" s="53">
        <f t="shared" si="9"/>
        <v>670.11034938688</v>
      </c>
      <c r="L17" s="53">
        <f t="shared" si="9"/>
        <v>676.9657491569291</v>
      </c>
      <c r="M17" s="49"/>
    </row>
    <row r="18" spans="1:13" ht="12">
      <c r="A18" s="54"/>
      <c r="B18" s="55"/>
      <c r="C18" s="56"/>
      <c r="D18" s="56"/>
      <c r="E18" s="56"/>
      <c r="F18" s="56"/>
      <c r="G18" s="56"/>
      <c r="H18" s="56"/>
      <c r="I18" s="56"/>
      <c r="J18" s="56"/>
      <c r="K18" s="56"/>
      <c r="L18" s="56"/>
      <c r="M18" s="54"/>
    </row>
    <row r="19" spans="1:13" ht="12">
      <c r="A19" s="54"/>
      <c r="B19" s="57"/>
      <c r="C19" s="57"/>
      <c r="D19" s="56"/>
      <c r="E19" s="56"/>
      <c r="F19" s="56"/>
      <c r="G19" s="56"/>
      <c r="H19" s="56"/>
      <c r="I19" s="58" t="s">
        <v>28</v>
      </c>
      <c r="J19" s="59"/>
      <c r="K19" s="59"/>
      <c r="L19" s="56"/>
      <c r="M19" s="54"/>
    </row>
    <row r="20" spans="1:13" ht="12">
      <c r="A20" s="54"/>
      <c r="B20" s="60"/>
      <c r="C20" s="57"/>
      <c r="D20" s="56"/>
      <c r="E20" s="56"/>
      <c r="F20" s="56"/>
      <c r="G20" s="56"/>
      <c r="H20" s="56"/>
      <c r="I20" s="61">
        <f>1.1888*LN($E$4/5)-0.6133</f>
        <v>2.124013158551322</v>
      </c>
      <c r="J20" s="59"/>
      <c r="K20" s="59"/>
      <c r="L20" s="56"/>
      <c r="M20" s="54"/>
    </row>
    <row r="21" spans="1:13" ht="12">
      <c r="A21" s="54"/>
      <c r="B21" s="60"/>
      <c r="C21" s="57"/>
      <c r="D21" s="56"/>
      <c r="E21" s="56"/>
      <c r="F21" s="56"/>
      <c r="G21" s="56"/>
      <c r="H21" s="56"/>
      <c r="I21" s="61">
        <f>1.1888*LN(J21/5)-0.6133</f>
        <v>2.2373179003027035</v>
      </c>
      <c r="J21" s="62">
        <f>E4+5</f>
        <v>55</v>
      </c>
      <c r="K21" s="63">
        <f aca="true" t="shared" si="10" ref="K21:K29">($C$38)*(1-($D$38)*EXP(-$E$38*(J21)))+(1.96*I21)</f>
        <v>28.191306239399296</v>
      </c>
      <c r="L21" s="56"/>
      <c r="M21" s="54"/>
    </row>
    <row r="22" spans="1:13" ht="12">
      <c r="A22" s="54"/>
      <c r="B22" s="60"/>
      <c r="C22" s="57"/>
      <c r="D22" s="56"/>
      <c r="E22" s="56"/>
      <c r="F22" s="56"/>
      <c r="G22" s="56"/>
      <c r="H22" s="56"/>
      <c r="I22" s="61">
        <f aca="true" t="shared" si="11" ref="I22:I29">1.1888*LN(J22/5)-0.6133</f>
        <v>2.3407570252679752</v>
      </c>
      <c r="J22" s="62">
        <f aca="true" t="shared" si="12" ref="J22:J29">J21+5</f>
        <v>60</v>
      </c>
      <c r="K22" s="63">
        <f t="shared" si="10"/>
        <v>28.958724468941757</v>
      </c>
      <c r="L22" s="56"/>
      <c r="M22" s="54"/>
    </row>
    <row r="23" spans="1:13" ht="12">
      <c r="A23" s="54"/>
      <c r="B23" s="60"/>
      <c r="C23" s="57"/>
      <c r="D23" s="56"/>
      <c r="E23" s="56"/>
      <c r="F23" s="56"/>
      <c r="G23" s="56"/>
      <c r="H23" s="56"/>
      <c r="I23" s="61">
        <f t="shared" si="11"/>
        <v>2.4359117961502754</v>
      </c>
      <c r="J23" s="62">
        <f t="shared" si="12"/>
        <v>65</v>
      </c>
      <c r="K23" s="63">
        <f t="shared" si="10"/>
        <v>29.601803673960973</v>
      </c>
      <c r="L23" s="56"/>
      <c r="M23" s="54"/>
    </row>
    <row r="24" spans="1:13" ht="12">
      <c r="A24" s="54"/>
      <c r="B24" s="60"/>
      <c r="C24" s="57"/>
      <c r="D24" s="64"/>
      <c r="E24" s="64"/>
      <c r="F24" s="54"/>
      <c r="G24" s="54"/>
      <c r="H24" s="64"/>
      <c r="I24" s="61">
        <f t="shared" si="11"/>
        <v>2.5240113534466193</v>
      </c>
      <c r="J24" s="62">
        <f t="shared" si="12"/>
        <v>70</v>
      </c>
      <c r="K24" s="63">
        <f t="shared" si="10"/>
        <v>30.143647923269484</v>
      </c>
      <c r="L24" s="64"/>
      <c r="M24" s="54"/>
    </row>
    <row r="25" spans="1:13" ht="12">
      <c r="A25" s="65"/>
      <c r="B25" s="54"/>
      <c r="C25" s="57"/>
      <c r="D25" s="65"/>
      <c r="E25" s="65"/>
      <c r="F25" s="65"/>
      <c r="G25" s="65"/>
      <c r="H25" s="56"/>
      <c r="I25" s="61">
        <f t="shared" si="11"/>
        <v>2.6060300790703073</v>
      </c>
      <c r="J25" s="62">
        <f t="shared" si="12"/>
        <v>75</v>
      </c>
      <c r="K25" s="63">
        <f t="shared" si="10"/>
        <v>30.60290012351575</v>
      </c>
      <c r="L25" s="65"/>
      <c r="M25" s="54"/>
    </row>
    <row r="26" spans="1:13" ht="12">
      <c r="A26" s="65"/>
      <c r="B26" s="54"/>
      <c r="C26" s="57"/>
      <c r="D26" s="65"/>
      <c r="E26" s="65"/>
      <c r="F26" s="65"/>
      <c r="G26" s="65"/>
      <c r="H26" s="56"/>
      <c r="I26" s="61">
        <f t="shared" si="11"/>
        <v>2.6827534729986517</v>
      </c>
      <c r="J26" s="62">
        <f t="shared" si="12"/>
        <v>80</v>
      </c>
      <c r="K26" s="63">
        <f t="shared" si="10"/>
        <v>30.99462958991799</v>
      </c>
      <c r="L26" s="65"/>
      <c r="M26" s="54"/>
    </row>
    <row r="27" spans="1:13" ht="12">
      <c r="A27" s="65"/>
      <c r="B27" s="54"/>
      <c r="C27" s="57"/>
      <c r="D27" s="65"/>
      <c r="E27" s="65"/>
      <c r="F27" s="65"/>
      <c r="G27" s="65"/>
      <c r="H27" s="56"/>
      <c r="I27" s="61">
        <f t="shared" si="11"/>
        <v>2.75482402341403</v>
      </c>
      <c r="J27" s="62">
        <f t="shared" si="12"/>
        <v>85</v>
      </c>
      <c r="K27" s="63">
        <f t="shared" si="10"/>
        <v>31.331035206337404</v>
      </c>
      <c r="L27" s="65"/>
      <c r="M27" s="54"/>
    </row>
    <row r="28" spans="1:13" ht="12">
      <c r="A28" s="65"/>
      <c r="B28" s="54"/>
      <c r="C28" s="57"/>
      <c r="D28" s="65"/>
      <c r="E28" s="65"/>
      <c r="F28" s="65"/>
      <c r="G28" s="65"/>
      <c r="H28" s="56"/>
      <c r="I28" s="61">
        <f t="shared" si="11"/>
        <v>2.8227739457869605</v>
      </c>
      <c r="J28" s="62">
        <f t="shared" si="12"/>
        <v>90</v>
      </c>
      <c r="K28" s="63">
        <f t="shared" si="10"/>
        <v>31.62200544721175</v>
      </c>
      <c r="L28" s="65"/>
      <c r="M28" s="54"/>
    </row>
    <row r="29" spans="1:13" ht="12">
      <c r="A29" s="65"/>
      <c r="B29" s="57"/>
      <c r="C29" s="57"/>
      <c r="D29" s="65"/>
      <c r="E29" s="65"/>
      <c r="F29" s="65"/>
      <c r="G29" s="65"/>
      <c r="H29" s="56"/>
      <c r="I29" s="61">
        <f t="shared" si="11"/>
        <v>2.887049058433065</v>
      </c>
      <c r="J29" s="62">
        <f t="shared" si="12"/>
        <v>95</v>
      </c>
      <c r="K29" s="63">
        <f t="shared" si="10"/>
        <v>31.87556610097298</v>
      </c>
      <c r="L29" s="65"/>
      <c r="M29" s="54"/>
    </row>
    <row r="30" spans="1:13" ht="12">
      <c r="A30" s="65"/>
      <c r="B30" s="57"/>
      <c r="C30" s="57"/>
      <c r="D30" s="65"/>
      <c r="E30" s="65"/>
      <c r="F30" s="65"/>
      <c r="G30" s="65"/>
      <c r="H30" s="56"/>
      <c r="I30" s="65"/>
      <c r="J30" s="65"/>
      <c r="K30" s="65"/>
      <c r="L30" s="65"/>
      <c r="M30" s="54"/>
    </row>
    <row r="31" spans="1:13" s="4" customFormat="1" ht="10.5">
      <c r="A31" s="66"/>
      <c r="B31" s="67" t="s">
        <v>6</v>
      </c>
      <c r="C31" s="66"/>
      <c r="D31" s="67" t="s">
        <v>7</v>
      </c>
      <c r="E31" s="66"/>
      <c r="F31" s="68" t="s">
        <v>8</v>
      </c>
      <c r="G31" s="66"/>
      <c r="H31" s="67" t="s">
        <v>9</v>
      </c>
      <c r="I31" s="66"/>
      <c r="J31" s="66"/>
      <c r="K31" s="49"/>
      <c r="L31" s="49"/>
      <c r="M31" s="49"/>
    </row>
    <row r="32" spans="1:13" s="4" customFormat="1" ht="10.5">
      <c r="A32" s="69"/>
      <c r="B32" s="57" t="s">
        <v>10</v>
      </c>
      <c r="C32" s="70">
        <f>+'地位級Ⅲ'!C32</f>
        <v>0.095669</v>
      </c>
      <c r="D32" s="57" t="s">
        <v>11</v>
      </c>
      <c r="E32" s="70">
        <f>+'地位級Ⅲ'!E32</f>
        <v>0.578096</v>
      </c>
      <c r="F32" s="57" t="s">
        <v>12</v>
      </c>
      <c r="G32" s="71">
        <f>+'地位級Ⅲ'!G32</f>
        <v>-0.155598</v>
      </c>
      <c r="H32" s="57" t="s">
        <v>13</v>
      </c>
      <c r="I32" s="70">
        <f>+'地位級Ⅲ'!I32</f>
        <v>5.5297</v>
      </c>
      <c r="J32" s="69"/>
      <c r="K32" s="49"/>
      <c r="L32" s="49"/>
      <c r="M32" s="49"/>
    </row>
    <row r="33" spans="1:13" s="4" customFormat="1" ht="10.5">
      <c r="A33" s="69"/>
      <c r="B33" s="57" t="s">
        <v>14</v>
      </c>
      <c r="C33" s="70">
        <f>+'地位級Ⅲ'!C33</f>
        <v>-1.274434</v>
      </c>
      <c r="D33" s="57" t="s">
        <v>15</v>
      </c>
      <c r="E33" s="70">
        <f>+'地位級Ⅲ'!E33</f>
        <v>0.460651</v>
      </c>
      <c r="F33" s="57" t="s">
        <v>16</v>
      </c>
      <c r="G33" s="71">
        <f>+'地位級Ⅲ'!G33</f>
        <v>0.982606</v>
      </c>
      <c r="H33" s="57" t="s">
        <v>17</v>
      </c>
      <c r="I33" s="69"/>
      <c r="J33" s="69"/>
      <c r="K33" s="49"/>
      <c r="L33" s="49"/>
      <c r="M33" s="49"/>
    </row>
    <row r="34" spans="1:13" s="4" customFormat="1" ht="10.5">
      <c r="A34" s="69"/>
      <c r="B34" s="57" t="s">
        <v>18</v>
      </c>
      <c r="C34" s="70">
        <f>+'地位級Ⅲ'!C34</f>
        <v>8833.4</v>
      </c>
      <c r="D34" s="57" t="s">
        <v>19</v>
      </c>
      <c r="E34" s="70">
        <f>+'地位級Ⅲ'!E34</f>
        <v>0.042259</v>
      </c>
      <c r="F34" s="57" t="s">
        <v>20</v>
      </c>
      <c r="G34" s="71">
        <f>+'地位級Ⅲ'!G34</f>
        <v>0</v>
      </c>
      <c r="H34" s="57" t="s">
        <v>21</v>
      </c>
      <c r="I34" s="70">
        <f>C35-(C33)</f>
        <v>-1.780184</v>
      </c>
      <c r="J34" s="69"/>
      <c r="K34" s="49"/>
      <c r="L34" s="49"/>
      <c r="M34" s="49"/>
    </row>
    <row r="35" spans="1:13" s="4" customFormat="1" ht="10.5">
      <c r="A35" s="69"/>
      <c r="B35" s="57" t="s">
        <v>22</v>
      </c>
      <c r="C35" s="70">
        <f>+'地位級Ⅲ'!C35</f>
        <v>-3.054618</v>
      </c>
      <c r="D35" s="69"/>
      <c r="E35" s="69"/>
      <c r="F35" s="69"/>
      <c r="G35" s="69"/>
      <c r="H35" s="69"/>
      <c r="I35" s="69"/>
      <c r="J35" s="69"/>
      <c r="K35" s="49"/>
      <c r="L35" s="49"/>
      <c r="M35" s="49"/>
    </row>
    <row r="36" spans="1:13" s="4" customFormat="1" ht="10.5">
      <c r="A36" s="69"/>
      <c r="B36" s="57" t="s">
        <v>27</v>
      </c>
      <c r="C36" s="69"/>
      <c r="D36" s="69"/>
      <c r="E36" s="69"/>
      <c r="F36" s="72" t="s">
        <v>26</v>
      </c>
      <c r="G36" s="69"/>
      <c r="H36" s="73"/>
      <c r="I36" s="74"/>
      <c r="J36" s="74"/>
      <c r="K36" s="49"/>
      <c r="L36" s="49"/>
      <c r="M36" s="49"/>
    </row>
    <row r="37" spans="1:13" s="4" customFormat="1" ht="10.5">
      <c r="A37" s="69"/>
      <c r="B37" s="57" t="s">
        <v>0</v>
      </c>
      <c r="C37" s="50" t="s">
        <v>23</v>
      </c>
      <c r="D37" s="50" t="s">
        <v>24</v>
      </c>
      <c r="E37" s="50" t="s">
        <v>25</v>
      </c>
      <c r="F37" s="69"/>
      <c r="G37" s="69"/>
      <c r="H37" s="73"/>
      <c r="I37" s="74"/>
      <c r="J37" s="74"/>
      <c r="K37" s="49"/>
      <c r="L37" s="49"/>
      <c r="M37" s="49"/>
    </row>
    <row r="38" spans="1:13" s="4" customFormat="1" ht="10.5">
      <c r="A38" s="75"/>
      <c r="B38" s="52" t="str">
        <f>+D4</f>
        <v>Ⅰ</v>
      </c>
      <c r="C38" s="75">
        <f>+'地位級Ⅲ'!C38</f>
        <v>26.7558</v>
      </c>
      <c r="D38" s="75">
        <f>+'地位級Ⅲ'!D38</f>
        <v>1.1416</v>
      </c>
      <c r="E38" s="75">
        <f>+'地位級Ⅲ'!E38</f>
        <v>0.0425</v>
      </c>
      <c r="F38" s="75"/>
      <c r="G38" s="75"/>
      <c r="H38" s="76"/>
      <c r="I38" s="77"/>
      <c r="J38" s="77"/>
      <c r="K38" s="75"/>
      <c r="L38" s="75"/>
      <c r="M38" s="49"/>
    </row>
    <row r="39" spans="1:12" ht="12">
      <c r="A39" s="3"/>
      <c r="B39" s="3"/>
      <c r="C39" s="3"/>
      <c r="D39" s="3"/>
      <c r="E39" s="3"/>
      <c r="F39" s="3"/>
      <c r="G39" s="3"/>
      <c r="H39" s="3"/>
      <c r="I39" s="3"/>
      <c r="J39" s="3"/>
      <c r="K39" s="3"/>
      <c r="L39" s="3"/>
    </row>
    <row r="40" s="1" customFormat="1" ht="12">
      <c r="C40" s="2"/>
    </row>
  </sheetData>
  <sheetProtection password="D7CD" sheet="1" objects="1" scenarios="1" selectLockedCells="1"/>
  <mergeCells count="2">
    <mergeCell ref="D2:G2"/>
    <mergeCell ref="I2:L4"/>
  </mergeCells>
  <printOptions/>
  <pageMargins left="0.75" right="0.43"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39"/>
  <sheetViews>
    <sheetView workbookViewId="0" topLeftCell="A4">
      <selection activeCell="E4" sqref="E4"/>
    </sheetView>
  </sheetViews>
  <sheetFormatPr defaultColWidth="8.66015625" defaultRowHeight="18"/>
  <cols>
    <col min="1" max="1" width="1.0742187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2.08203125" style="2" customWidth="1"/>
    <col min="14" max="16384" width="8.66015625" style="2" customWidth="1"/>
  </cols>
  <sheetData>
    <row r="1" spans="1:13" ht="12" customHeight="1" thickBot="1">
      <c r="A1" s="47"/>
      <c r="B1" s="47"/>
      <c r="C1" s="47"/>
      <c r="D1" s="47"/>
      <c r="E1" s="47"/>
      <c r="F1" s="47"/>
      <c r="G1" s="47"/>
      <c r="H1" s="80"/>
      <c r="I1" s="80"/>
      <c r="J1" s="47"/>
      <c r="K1" s="47"/>
      <c r="L1" s="47"/>
      <c r="M1" s="47"/>
    </row>
    <row r="2" spans="1:13" ht="11.25" customHeight="1">
      <c r="A2" s="48"/>
      <c r="B2" s="44" t="s">
        <v>44</v>
      </c>
      <c r="C2" s="27"/>
      <c r="D2" s="136" t="s">
        <v>37</v>
      </c>
      <c r="E2" s="136"/>
      <c r="F2" s="136"/>
      <c r="G2" s="136"/>
      <c r="H2" s="27"/>
      <c r="I2" s="127" t="s">
        <v>43</v>
      </c>
      <c r="J2" s="128"/>
      <c r="K2" s="128"/>
      <c r="L2" s="129"/>
      <c r="M2" s="47"/>
    </row>
    <row r="3" spans="1:13" ht="11.25" customHeight="1">
      <c r="A3" s="48"/>
      <c r="B3" s="27"/>
      <c r="C3" s="27"/>
      <c r="D3" s="31" t="s">
        <v>29</v>
      </c>
      <c r="E3" s="31" t="s">
        <v>39</v>
      </c>
      <c r="F3" s="31" t="s">
        <v>40</v>
      </c>
      <c r="G3" s="31" t="s">
        <v>38</v>
      </c>
      <c r="H3" s="27"/>
      <c r="I3" s="130"/>
      <c r="J3" s="131"/>
      <c r="K3" s="131"/>
      <c r="L3" s="132"/>
      <c r="M3" s="47"/>
    </row>
    <row r="4" spans="1:13" ht="12.75" thickBot="1">
      <c r="A4" s="48"/>
      <c r="B4" s="27"/>
      <c r="C4" s="27"/>
      <c r="D4" s="78" t="s">
        <v>47</v>
      </c>
      <c r="E4" s="23">
        <v>20</v>
      </c>
      <c r="F4" s="86">
        <f>($C$38)*(1-($D$38)*EXP(-$E$38*(E4)))+(I20)</f>
        <v>14.73538499369489</v>
      </c>
      <c r="G4" s="23">
        <v>850</v>
      </c>
      <c r="H4" s="27"/>
      <c r="I4" s="133"/>
      <c r="J4" s="134"/>
      <c r="K4" s="134"/>
      <c r="L4" s="135"/>
      <c r="M4" s="47"/>
    </row>
    <row r="5" spans="1:13" ht="20.25" customHeight="1">
      <c r="A5" s="47"/>
      <c r="B5" s="24" t="s">
        <v>42</v>
      </c>
      <c r="C5" s="25"/>
      <c r="D5" s="26"/>
      <c r="E5" s="27"/>
      <c r="F5" s="27"/>
      <c r="G5" s="28"/>
      <c r="H5" s="29"/>
      <c r="I5" s="29"/>
      <c r="J5" s="30"/>
      <c r="K5" s="29"/>
      <c r="L5" s="29"/>
      <c r="M5" s="47"/>
    </row>
    <row r="6" spans="1:13" ht="12">
      <c r="A6" s="81"/>
      <c r="B6" s="31" t="s">
        <v>33</v>
      </c>
      <c r="C6" s="32">
        <f>E4*1</f>
        <v>20</v>
      </c>
      <c r="D6" s="6">
        <f>J21*1</f>
        <v>25</v>
      </c>
      <c r="E6" s="6">
        <f>J22*1</f>
        <v>30</v>
      </c>
      <c r="F6" s="6">
        <f>J23*1</f>
        <v>35</v>
      </c>
      <c r="G6" s="6">
        <f>J24*1</f>
        <v>40</v>
      </c>
      <c r="H6" s="6">
        <f>J25*1</f>
        <v>45</v>
      </c>
      <c r="I6" s="6">
        <f>J26*1</f>
        <v>50</v>
      </c>
      <c r="J6" s="6">
        <f>J27*1</f>
        <v>55</v>
      </c>
      <c r="K6" s="6">
        <f>J28*1</f>
        <v>60</v>
      </c>
      <c r="L6" s="6">
        <f>J29*1</f>
        <v>65</v>
      </c>
      <c r="M6" s="47"/>
    </row>
    <row r="7" spans="1:13" ht="12">
      <c r="A7" s="82"/>
      <c r="B7" s="33" t="s">
        <v>32</v>
      </c>
      <c r="C7" s="34">
        <f>F4*1</f>
        <v>14.73538499369489</v>
      </c>
      <c r="D7" s="7">
        <f>K21*1</f>
        <v>17.499930253118304</v>
      </c>
      <c r="E7" s="7">
        <f>K22*1</f>
        <v>19.737486444985358</v>
      </c>
      <c r="F7" s="7">
        <f>K23*1</f>
        <v>21.55468942601389</v>
      </c>
      <c r="G7" s="7">
        <f>K24*1</f>
        <v>23.034577585167252</v>
      </c>
      <c r="H7" s="7">
        <f>K25*1</f>
        <v>24.242824317642437</v>
      </c>
      <c r="I7" s="7">
        <f>K26*1</f>
        <v>25.23180226109177</v>
      </c>
      <c r="J7" s="7">
        <f>K27*1</f>
        <v>26.0434810551087</v>
      </c>
      <c r="K7" s="7">
        <f>K28*1</f>
        <v>26.711597724684502</v>
      </c>
      <c r="L7" s="7">
        <f>K29*1</f>
        <v>27.26332834965671</v>
      </c>
      <c r="M7" s="47"/>
    </row>
    <row r="8" spans="1:13" ht="12">
      <c r="A8" s="82"/>
      <c r="B8" s="35" t="s">
        <v>31</v>
      </c>
      <c r="C8" s="36">
        <f>G4*1</f>
        <v>850</v>
      </c>
      <c r="D8" s="8">
        <f aca="true" t="shared" si="0" ref="D8:L8">C8*1</f>
        <v>850</v>
      </c>
      <c r="E8" s="8">
        <f t="shared" si="0"/>
        <v>850</v>
      </c>
      <c r="F8" s="8">
        <f t="shared" si="0"/>
        <v>850</v>
      </c>
      <c r="G8" s="8">
        <f t="shared" si="0"/>
        <v>850</v>
      </c>
      <c r="H8" s="8">
        <f t="shared" si="0"/>
        <v>850</v>
      </c>
      <c r="I8" s="8">
        <f t="shared" si="0"/>
        <v>850</v>
      </c>
      <c r="J8" s="8">
        <f t="shared" si="0"/>
        <v>850</v>
      </c>
      <c r="K8" s="8">
        <f t="shared" si="0"/>
        <v>850</v>
      </c>
      <c r="L8" s="8">
        <f t="shared" si="0"/>
        <v>850</v>
      </c>
      <c r="M8" s="47"/>
    </row>
    <row r="9" spans="1:13" ht="12">
      <c r="A9" s="82"/>
      <c r="B9" s="35" t="s">
        <v>34</v>
      </c>
      <c r="C9" s="37">
        <f aca="true" t="shared" si="1" ref="C9:L9">($G$32)+($G$33)*(C15)+($G$34)*SQRT(C8)*(C7)/100</f>
        <v>17.855268654986286</v>
      </c>
      <c r="D9" s="22">
        <f t="shared" si="1"/>
        <v>19.680853938621603</v>
      </c>
      <c r="E9" s="22">
        <f t="shared" si="1"/>
        <v>20.91396975755852</v>
      </c>
      <c r="F9" s="22">
        <f t="shared" si="1"/>
        <v>21.786316818228165</v>
      </c>
      <c r="G9" s="22">
        <f t="shared" si="1"/>
        <v>22.425077559084478</v>
      </c>
      <c r="H9" s="22">
        <f t="shared" si="1"/>
        <v>22.905154258675065</v>
      </c>
      <c r="I9" s="22">
        <f t="shared" si="1"/>
        <v>23.273333862519355</v>
      </c>
      <c r="J9" s="22">
        <f t="shared" si="1"/>
        <v>23.560282209337597</v>
      </c>
      <c r="K9" s="22">
        <f t="shared" si="1"/>
        <v>23.786900866338243</v>
      </c>
      <c r="L9" s="22">
        <f t="shared" si="1"/>
        <v>23.967896530436374</v>
      </c>
      <c r="M9" s="47"/>
    </row>
    <row r="10" spans="1:13" ht="12">
      <c r="A10" s="83"/>
      <c r="B10" s="38" t="s">
        <v>36</v>
      </c>
      <c r="C10" s="39">
        <f aca="true" t="shared" si="2" ref="C10:L10">($C$32*(C7)^($C$33)+($C$34)*(C7)^($C$35)/(C8))^(-1)</f>
        <v>169.28665549519684</v>
      </c>
      <c r="D10" s="9">
        <f t="shared" si="2"/>
        <v>240.9180455159898</v>
      </c>
      <c r="E10" s="9">
        <f t="shared" si="2"/>
        <v>304.2859890127926</v>
      </c>
      <c r="F10" s="9">
        <f t="shared" si="2"/>
        <v>358.6156837773906</v>
      </c>
      <c r="G10" s="9">
        <f t="shared" si="2"/>
        <v>404.47595554944195</v>
      </c>
      <c r="H10" s="9">
        <f t="shared" si="2"/>
        <v>442.8704702031771</v>
      </c>
      <c r="I10" s="9">
        <f t="shared" si="2"/>
        <v>474.8779581458405</v>
      </c>
      <c r="J10" s="9">
        <f t="shared" si="2"/>
        <v>501.5109985679729</v>
      </c>
      <c r="K10" s="9">
        <f t="shared" si="2"/>
        <v>523.666179621742</v>
      </c>
      <c r="L10" s="9">
        <f t="shared" si="2"/>
        <v>542.1135857639089</v>
      </c>
      <c r="M10" s="47"/>
    </row>
    <row r="11" spans="1:13" ht="12">
      <c r="A11" s="82"/>
      <c r="B11" s="35" t="s">
        <v>30</v>
      </c>
      <c r="C11" s="46">
        <f aca="true" t="shared" si="3" ref="C11:L11">IF(C10/C17&gt;=0.99,"1以上",C10/C17)</f>
        <v>0.6685198370520045</v>
      </c>
      <c r="D11" s="45">
        <f t="shared" si="3"/>
        <v>0.7641748878644444</v>
      </c>
      <c r="E11" s="45">
        <f t="shared" si="3"/>
        <v>0.8279596379128683</v>
      </c>
      <c r="F11" s="45">
        <f t="shared" si="3"/>
        <v>0.8721867502056333</v>
      </c>
      <c r="G11" s="45">
        <f t="shared" si="3"/>
        <v>0.9038995544615457</v>
      </c>
      <c r="H11" s="45">
        <f t="shared" si="3"/>
        <v>0.9272737732478376</v>
      </c>
      <c r="I11" s="45">
        <f t="shared" si="3"/>
        <v>0.9448930280098695</v>
      </c>
      <c r="J11" s="45">
        <f t="shared" si="3"/>
        <v>0.9584217433344666</v>
      </c>
      <c r="K11" s="45">
        <f t="shared" si="3"/>
        <v>0.9689712403478866</v>
      </c>
      <c r="L11" s="45">
        <f t="shared" si="3"/>
        <v>0.9773068474305032</v>
      </c>
      <c r="M11" s="47"/>
    </row>
    <row r="12" spans="1:13" ht="12">
      <c r="A12" s="82"/>
      <c r="B12" s="38" t="s">
        <v>58</v>
      </c>
      <c r="C12" s="125">
        <f>+C7/C9*100</f>
        <v>82.52681759330385</v>
      </c>
      <c r="D12" s="125">
        <f aca="true" t="shared" si="4" ref="D12:L12">+D7/D9*100</f>
        <v>88.91855154098032</v>
      </c>
      <c r="E12" s="125">
        <f t="shared" si="4"/>
        <v>94.37465327620086</v>
      </c>
      <c r="F12" s="125">
        <f t="shared" si="4"/>
        <v>98.9368217025997</v>
      </c>
      <c r="G12" s="125">
        <f t="shared" si="4"/>
        <v>102.71793943399703</v>
      </c>
      <c r="H12" s="125">
        <f t="shared" si="4"/>
        <v>105.8400395118961</v>
      </c>
      <c r="I12" s="125">
        <f t="shared" si="4"/>
        <v>108.41507456620316</v>
      </c>
      <c r="J12" s="125">
        <f t="shared" si="4"/>
        <v>110.53976698456924</v>
      </c>
      <c r="K12" s="125">
        <f t="shared" si="4"/>
        <v>112.29540945573582</v>
      </c>
      <c r="L12" s="125">
        <f t="shared" si="4"/>
        <v>113.74935766697563</v>
      </c>
      <c r="M12" s="47"/>
    </row>
    <row r="13" spans="1:13" s="5" customFormat="1" ht="10.5">
      <c r="A13" s="87"/>
      <c r="B13" s="88" t="s">
        <v>2</v>
      </c>
      <c r="C13" s="89">
        <f aca="true" t="shared" si="5" ref="C13:L13">C10/C14</f>
        <v>22.429461073406838</v>
      </c>
      <c r="D13" s="89">
        <f t="shared" si="5"/>
        <v>27.20680886402558</v>
      </c>
      <c r="E13" s="89">
        <f t="shared" si="5"/>
        <v>30.694521614709124</v>
      </c>
      <c r="F13" s="89">
        <f t="shared" si="5"/>
        <v>33.28884034740897</v>
      </c>
      <c r="G13" s="89">
        <f t="shared" si="5"/>
        <v>35.25522400845143</v>
      </c>
      <c r="H13" s="89">
        <f t="shared" si="5"/>
        <v>36.770247849391914</v>
      </c>
      <c r="I13" s="89">
        <f t="shared" si="5"/>
        <v>37.953741516280374</v>
      </c>
      <c r="J13" s="89">
        <f t="shared" si="5"/>
        <v>38.88911973515746</v>
      </c>
      <c r="K13" s="89">
        <f t="shared" si="5"/>
        <v>39.63588575099595</v>
      </c>
      <c r="L13" s="89">
        <f t="shared" si="5"/>
        <v>40.23741356078617</v>
      </c>
      <c r="M13" s="87"/>
    </row>
    <row r="14" spans="1:13" s="5" customFormat="1" ht="10.5">
      <c r="A14" s="87"/>
      <c r="B14" s="88" t="s">
        <v>1</v>
      </c>
      <c r="C14" s="89">
        <f aca="true" t="shared" si="6" ref="C14:L14">($E$32)+($E$33)*(C7)+($E$34)*SQRT(C8)*(C7)/100</f>
        <v>7.547513288043692</v>
      </c>
      <c r="D14" s="89">
        <f t="shared" si="6"/>
        <v>8.855064433320793</v>
      </c>
      <c r="E14" s="89">
        <f t="shared" si="6"/>
        <v>9.913364763664395</v>
      </c>
      <c r="F14" s="89">
        <f t="shared" si="6"/>
        <v>10.772850001225812</v>
      </c>
      <c r="G14" s="89">
        <f t="shared" si="6"/>
        <v>11.472794938204915</v>
      </c>
      <c r="H14" s="89">
        <f t="shared" si="6"/>
        <v>12.044261219482127</v>
      </c>
      <c r="I14" s="89">
        <f t="shared" si="6"/>
        <v>12.512019610560403</v>
      </c>
      <c r="J14" s="89">
        <f t="shared" si="6"/>
        <v>12.895920555244276</v>
      </c>
      <c r="K14" s="89">
        <f t="shared" si="6"/>
        <v>13.211920705180242</v>
      </c>
      <c r="L14" s="89">
        <f t="shared" si="6"/>
        <v>13.472873571879674</v>
      </c>
      <c r="M14" s="87"/>
    </row>
    <row r="15" spans="1:13" s="5" customFormat="1" ht="10.5">
      <c r="A15" s="87"/>
      <c r="B15" s="88" t="s">
        <v>3</v>
      </c>
      <c r="C15" s="89">
        <f aca="true" t="shared" si="7" ref="C15:L15">200*SQRT(C13/3.14159/C8)</f>
        <v>18.329693340958926</v>
      </c>
      <c r="D15" s="89">
        <f t="shared" si="7"/>
        <v>20.187594965450653</v>
      </c>
      <c r="E15" s="89">
        <f t="shared" si="7"/>
        <v>21.44253928589742</v>
      </c>
      <c r="F15" s="89">
        <f t="shared" si="7"/>
        <v>22.33032855308045</v>
      </c>
      <c r="G15" s="89">
        <f t="shared" si="7"/>
        <v>22.98039657714738</v>
      </c>
      <c r="H15" s="89">
        <f t="shared" si="7"/>
        <v>23.468971549812505</v>
      </c>
      <c r="I15" s="89">
        <f t="shared" si="7"/>
        <v>23.843668634752238</v>
      </c>
      <c r="J15" s="89">
        <f t="shared" si="7"/>
        <v>24.135696514511004</v>
      </c>
      <c r="K15" s="89">
        <f t="shared" si="7"/>
        <v>24.366326753895503</v>
      </c>
      <c r="L15" s="89">
        <f t="shared" si="7"/>
        <v>24.550526386401444</v>
      </c>
      <c r="M15" s="87"/>
    </row>
    <row r="16" spans="1:13" s="5" customFormat="1" ht="10.5">
      <c r="A16" s="87"/>
      <c r="B16" s="88" t="s">
        <v>4</v>
      </c>
      <c r="C16" s="89">
        <f aca="true" t="shared" si="8" ref="C16:L16">10^(($I$32)+($I$34)*LOG(C7)/LOG(10))</f>
        <v>2817.095528258958</v>
      </c>
      <c r="D16" s="89">
        <f t="shared" si="8"/>
        <v>2074.2764451343764</v>
      </c>
      <c r="E16" s="89">
        <f t="shared" si="8"/>
        <v>1674.3343325916485</v>
      </c>
      <c r="F16" s="89">
        <f t="shared" si="8"/>
        <v>1431.364620319941</v>
      </c>
      <c r="G16" s="89">
        <f t="shared" si="8"/>
        <v>1271.7814105900716</v>
      </c>
      <c r="H16" s="89">
        <f t="shared" si="8"/>
        <v>1161.1467616595041</v>
      </c>
      <c r="I16" s="89">
        <f t="shared" si="8"/>
        <v>1081.3695008904158</v>
      </c>
      <c r="J16" s="89">
        <f t="shared" si="8"/>
        <v>1022.1043407717677</v>
      </c>
      <c r="K16" s="89">
        <f t="shared" si="8"/>
        <v>977.0386103277782</v>
      </c>
      <c r="L16" s="89">
        <f t="shared" si="8"/>
        <v>942.1183387688515</v>
      </c>
      <c r="M16" s="87"/>
    </row>
    <row r="17" spans="1:13" s="5" customFormat="1" ht="10.5">
      <c r="A17" s="87"/>
      <c r="B17" s="90" t="s">
        <v>5</v>
      </c>
      <c r="C17" s="91">
        <f aca="true" t="shared" si="9" ref="C17:L17">(($C$32)*(C7)^($C$33)+($C$34)*(C7)^($C$35)/(C16))^(-1)</f>
        <v>253.22607664374803</v>
      </c>
      <c r="D17" s="91">
        <f t="shared" si="9"/>
        <v>315.26558820750705</v>
      </c>
      <c r="E17" s="91">
        <f t="shared" si="9"/>
        <v>367.5130707818569</v>
      </c>
      <c r="F17" s="91">
        <f t="shared" si="9"/>
        <v>411.1684609893932</v>
      </c>
      <c r="G17" s="91">
        <f t="shared" si="9"/>
        <v>447.47887478536137</v>
      </c>
      <c r="H17" s="91">
        <f t="shared" si="9"/>
        <v>477.60487029843847</v>
      </c>
      <c r="I17" s="91">
        <f t="shared" si="9"/>
        <v>502.5732480490695</v>
      </c>
      <c r="J17" s="91">
        <f t="shared" si="9"/>
        <v>523.2675511128897</v>
      </c>
      <c r="K17" s="91">
        <f t="shared" si="9"/>
        <v>540.4352139839897</v>
      </c>
      <c r="L17" s="91">
        <f t="shared" si="9"/>
        <v>554.7015118017566</v>
      </c>
      <c r="M17" s="87"/>
    </row>
    <row r="18" spans="1:13" ht="12">
      <c r="A18" s="92"/>
      <c r="B18" s="93"/>
      <c r="C18" s="94"/>
      <c r="D18" s="94"/>
      <c r="E18" s="94"/>
      <c r="F18" s="94"/>
      <c r="G18" s="94"/>
      <c r="H18" s="94"/>
      <c r="I18" s="94"/>
      <c r="J18" s="94"/>
      <c r="K18" s="94"/>
      <c r="L18" s="94"/>
      <c r="M18" s="92"/>
    </row>
    <row r="19" spans="1:13" ht="12">
      <c r="A19" s="92"/>
      <c r="B19" s="92"/>
      <c r="C19" s="92"/>
      <c r="D19" s="94"/>
      <c r="E19" s="94"/>
      <c r="F19" s="94"/>
      <c r="G19" s="94"/>
      <c r="H19" s="94"/>
      <c r="I19" s="95" t="s">
        <v>48</v>
      </c>
      <c r="J19" s="96"/>
      <c r="K19" s="96"/>
      <c r="L19" s="94"/>
      <c r="M19" s="92"/>
    </row>
    <row r="20" spans="1:13" ht="12">
      <c r="A20" s="92"/>
      <c r="B20" s="97"/>
      <c r="C20" s="98"/>
      <c r="D20" s="94"/>
      <c r="E20" s="94"/>
      <c r="F20" s="94"/>
      <c r="G20" s="94"/>
      <c r="H20" s="94"/>
      <c r="I20" s="99">
        <f>1.1888*LN($E$4/5)-0.6133</f>
        <v>1.034726736499326</v>
      </c>
      <c r="J20" s="96"/>
      <c r="K20" s="96"/>
      <c r="L20" s="94"/>
      <c r="M20" s="92"/>
    </row>
    <row r="21" spans="1:13" ht="12">
      <c r="A21" s="92"/>
      <c r="B21" s="97"/>
      <c r="C21" s="98"/>
      <c r="D21" s="94"/>
      <c r="E21" s="94"/>
      <c r="F21" s="94"/>
      <c r="G21" s="94"/>
      <c r="H21" s="94"/>
      <c r="I21" s="99">
        <f>1.1888*LN(J21/5)-0.6133</f>
        <v>1.2999997903016587</v>
      </c>
      <c r="J21" s="100">
        <f>E4+5</f>
        <v>25</v>
      </c>
      <c r="K21" s="101">
        <f>($C$38)*(1-($D$38)*EXP(-$E$38*(J21)))+(I21)</f>
        <v>17.499930253118304</v>
      </c>
      <c r="L21" s="94"/>
      <c r="M21" s="92"/>
    </row>
    <row r="22" spans="1:13" ht="12">
      <c r="A22" s="92"/>
      <c r="B22" s="97"/>
      <c r="C22" s="98"/>
      <c r="D22" s="94"/>
      <c r="E22" s="94"/>
      <c r="F22" s="94"/>
      <c r="G22" s="94"/>
      <c r="H22" s="94"/>
      <c r="I22" s="99">
        <f aca="true" t="shared" si="10" ref="I22:I29">1.1888*LN(J22/5)-0.6133</f>
        <v>1.516743657018312</v>
      </c>
      <c r="J22" s="100">
        <f aca="true" t="shared" si="11" ref="J22:J29">J21+5</f>
        <v>30</v>
      </c>
      <c r="K22" s="101">
        <f aca="true" t="shared" si="12" ref="K22:K29">($C$38)*(1-($D$38)*EXP(-$E$38*(J22)))+(I22)</f>
        <v>19.737486444985358</v>
      </c>
      <c r="L22" s="94"/>
      <c r="M22" s="92"/>
    </row>
    <row r="23" spans="1:13" ht="12">
      <c r="A23" s="92"/>
      <c r="B23" s="97"/>
      <c r="C23" s="98"/>
      <c r="D23" s="94"/>
      <c r="E23" s="94"/>
      <c r="F23" s="94"/>
      <c r="G23" s="94"/>
      <c r="H23" s="94"/>
      <c r="I23" s="99">
        <f t="shared" si="10"/>
        <v>1.6999979851969564</v>
      </c>
      <c r="J23" s="100">
        <f t="shared" si="11"/>
        <v>35</v>
      </c>
      <c r="K23" s="101">
        <f t="shared" si="12"/>
        <v>21.55468942601389</v>
      </c>
      <c r="L23" s="94"/>
      <c r="M23" s="92"/>
    </row>
    <row r="24" spans="1:13" ht="12">
      <c r="A24" s="92"/>
      <c r="B24" s="97"/>
      <c r="C24" s="98"/>
      <c r="D24" s="102"/>
      <c r="E24" s="102"/>
      <c r="F24" s="92"/>
      <c r="G24" s="92"/>
      <c r="H24" s="102"/>
      <c r="I24" s="99">
        <f t="shared" si="10"/>
        <v>1.8587401047489889</v>
      </c>
      <c r="J24" s="100">
        <f t="shared" si="11"/>
        <v>40</v>
      </c>
      <c r="K24" s="101">
        <f t="shared" si="12"/>
        <v>23.034577585167252</v>
      </c>
      <c r="L24" s="102"/>
      <c r="M24" s="92"/>
    </row>
    <row r="25" spans="1:13" ht="12">
      <c r="A25" s="103"/>
      <c r="B25" s="98"/>
      <c r="C25" s="98"/>
      <c r="D25" s="103"/>
      <c r="E25" s="103"/>
      <c r="F25" s="103"/>
      <c r="G25" s="103"/>
      <c r="H25" s="94"/>
      <c r="I25" s="99">
        <f t="shared" si="10"/>
        <v>1.998760577537298</v>
      </c>
      <c r="J25" s="100">
        <f t="shared" si="11"/>
        <v>45</v>
      </c>
      <c r="K25" s="101">
        <f t="shared" si="12"/>
        <v>24.242824317642437</v>
      </c>
      <c r="L25" s="103"/>
      <c r="M25" s="92"/>
    </row>
    <row r="26" spans="1:13" ht="12">
      <c r="A26" s="103"/>
      <c r="B26" s="98"/>
      <c r="C26" s="98"/>
      <c r="D26" s="103"/>
      <c r="E26" s="103"/>
      <c r="F26" s="103"/>
      <c r="G26" s="103"/>
      <c r="H26" s="94"/>
      <c r="I26" s="99">
        <f t="shared" si="10"/>
        <v>2.124013158551322</v>
      </c>
      <c r="J26" s="100">
        <f t="shared" si="11"/>
        <v>50</v>
      </c>
      <c r="K26" s="101">
        <f t="shared" si="12"/>
        <v>25.23180226109177</v>
      </c>
      <c r="L26" s="103"/>
      <c r="M26" s="92"/>
    </row>
    <row r="27" spans="1:13" ht="12">
      <c r="A27" s="103"/>
      <c r="B27" s="98"/>
      <c r="C27" s="98"/>
      <c r="D27" s="103"/>
      <c r="E27" s="103"/>
      <c r="F27" s="103"/>
      <c r="G27" s="103"/>
      <c r="H27" s="94"/>
      <c r="I27" s="99">
        <f t="shared" si="10"/>
        <v>2.2373179003027035</v>
      </c>
      <c r="J27" s="100">
        <f t="shared" si="11"/>
        <v>55</v>
      </c>
      <c r="K27" s="101">
        <f t="shared" si="12"/>
        <v>26.0434810551087</v>
      </c>
      <c r="L27" s="103"/>
      <c r="M27" s="92"/>
    </row>
    <row r="28" spans="1:13" ht="12">
      <c r="A28" s="103"/>
      <c r="B28" s="137"/>
      <c r="C28" s="137"/>
      <c r="D28" s="137"/>
      <c r="E28" s="137"/>
      <c r="F28" s="103"/>
      <c r="G28" s="103"/>
      <c r="H28" s="94"/>
      <c r="I28" s="99">
        <f t="shared" si="10"/>
        <v>2.3407570252679752</v>
      </c>
      <c r="J28" s="100">
        <f t="shared" si="11"/>
        <v>60</v>
      </c>
      <c r="K28" s="101">
        <f t="shared" si="12"/>
        <v>26.711597724684502</v>
      </c>
      <c r="L28" s="103"/>
      <c r="M28" s="92"/>
    </row>
    <row r="29" spans="1:13" ht="12">
      <c r="A29" s="103"/>
      <c r="B29" s="137"/>
      <c r="C29" s="137"/>
      <c r="D29" s="137"/>
      <c r="E29" s="137"/>
      <c r="F29" s="103"/>
      <c r="G29" s="103"/>
      <c r="H29" s="94"/>
      <c r="I29" s="99">
        <f t="shared" si="10"/>
        <v>2.4359117961502754</v>
      </c>
      <c r="J29" s="100">
        <f t="shared" si="11"/>
        <v>65</v>
      </c>
      <c r="K29" s="101">
        <f t="shared" si="12"/>
        <v>27.26332834965671</v>
      </c>
      <c r="L29" s="103"/>
      <c r="M29" s="92"/>
    </row>
    <row r="30" spans="1:13" ht="12">
      <c r="A30" s="104"/>
      <c r="B30" s="138"/>
      <c r="C30" s="138"/>
      <c r="D30" s="138"/>
      <c r="E30" s="138"/>
      <c r="F30" s="104"/>
      <c r="G30" s="104"/>
      <c r="H30" s="105"/>
      <c r="I30" s="104"/>
      <c r="J30" s="104"/>
      <c r="K30" s="104"/>
      <c r="L30" s="104"/>
      <c r="M30" s="92"/>
    </row>
    <row r="31" spans="1:13" s="4" customFormat="1" ht="10.5">
      <c r="A31" s="106"/>
      <c r="B31" s="98" t="s">
        <v>6</v>
      </c>
      <c r="C31" s="106"/>
      <c r="D31" s="98" t="s">
        <v>7</v>
      </c>
      <c r="E31" s="106"/>
      <c r="F31" s="107" t="s">
        <v>8</v>
      </c>
      <c r="G31" s="106"/>
      <c r="H31" s="98" t="s">
        <v>9</v>
      </c>
      <c r="I31" s="106"/>
      <c r="J31" s="106"/>
      <c r="K31" s="87"/>
      <c r="L31" s="87"/>
      <c r="M31" s="87"/>
    </row>
    <row r="32" spans="1:13" s="4" customFormat="1" ht="10.5">
      <c r="A32" s="106"/>
      <c r="B32" s="98" t="s">
        <v>10</v>
      </c>
      <c r="C32" s="108">
        <f>+'地位級Ⅲ'!C32</f>
        <v>0.095669</v>
      </c>
      <c r="D32" s="98" t="s">
        <v>11</v>
      </c>
      <c r="E32" s="108">
        <f>+'地位級Ⅲ'!E32</f>
        <v>0.578096</v>
      </c>
      <c r="F32" s="98" t="s">
        <v>12</v>
      </c>
      <c r="G32" s="109">
        <f>+'地位級Ⅲ'!G32</f>
        <v>-0.155598</v>
      </c>
      <c r="H32" s="98" t="s">
        <v>13</v>
      </c>
      <c r="I32" s="108">
        <f>+'地位級Ⅲ'!I32</f>
        <v>5.5297</v>
      </c>
      <c r="J32" s="106"/>
      <c r="K32" s="87"/>
      <c r="L32" s="87"/>
      <c r="M32" s="87"/>
    </row>
    <row r="33" spans="1:13" s="4" customFormat="1" ht="10.5">
      <c r="A33" s="106"/>
      <c r="B33" s="98" t="s">
        <v>14</v>
      </c>
      <c r="C33" s="108">
        <f>+'地位級Ⅲ'!C33</f>
        <v>-1.274434</v>
      </c>
      <c r="D33" s="98" t="s">
        <v>15</v>
      </c>
      <c r="E33" s="108">
        <f>+'地位級Ⅲ'!E33</f>
        <v>0.460651</v>
      </c>
      <c r="F33" s="98" t="s">
        <v>16</v>
      </c>
      <c r="G33" s="109">
        <f>+'地位級Ⅲ'!G33</f>
        <v>0.982606</v>
      </c>
      <c r="H33" s="98" t="s">
        <v>17</v>
      </c>
      <c r="I33" s="106"/>
      <c r="J33" s="106"/>
      <c r="K33" s="87"/>
      <c r="L33" s="87"/>
      <c r="M33" s="87"/>
    </row>
    <row r="34" spans="1:13" s="4" customFormat="1" ht="10.5">
      <c r="A34" s="106"/>
      <c r="B34" s="98" t="s">
        <v>18</v>
      </c>
      <c r="C34" s="108">
        <f>+'地位級Ⅲ'!C34</f>
        <v>8833.4</v>
      </c>
      <c r="D34" s="98" t="s">
        <v>19</v>
      </c>
      <c r="E34" s="108">
        <f>+'地位級Ⅲ'!E34</f>
        <v>0.042259</v>
      </c>
      <c r="F34" s="98" t="s">
        <v>20</v>
      </c>
      <c r="G34" s="109">
        <f>+'地位級Ⅲ'!G34</f>
        <v>0</v>
      </c>
      <c r="H34" s="98" t="s">
        <v>21</v>
      </c>
      <c r="I34" s="108">
        <f>C35-(C33)</f>
        <v>-1.780184</v>
      </c>
      <c r="J34" s="106"/>
      <c r="K34" s="87"/>
      <c r="L34" s="87"/>
      <c r="M34" s="87"/>
    </row>
    <row r="35" spans="1:13" s="4" customFormat="1" ht="10.5">
      <c r="A35" s="106"/>
      <c r="B35" s="98" t="s">
        <v>22</v>
      </c>
      <c r="C35" s="108">
        <f>+'地位級Ⅲ'!C35</f>
        <v>-3.054618</v>
      </c>
      <c r="D35" s="106"/>
      <c r="E35" s="106"/>
      <c r="F35" s="106"/>
      <c r="G35" s="106"/>
      <c r="H35" s="106"/>
      <c r="I35" s="106"/>
      <c r="J35" s="106"/>
      <c r="K35" s="87"/>
      <c r="L35" s="87"/>
      <c r="M35" s="87"/>
    </row>
    <row r="36" spans="1:13" s="4" customFormat="1" ht="10.5" customHeight="1">
      <c r="A36" s="106"/>
      <c r="B36" s="98" t="s">
        <v>41</v>
      </c>
      <c r="C36" s="106"/>
      <c r="D36" s="106"/>
      <c r="E36" s="106"/>
      <c r="F36" s="110" t="s">
        <v>26</v>
      </c>
      <c r="G36" s="106"/>
      <c r="H36" s="111"/>
      <c r="I36" s="87"/>
      <c r="J36" s="87"/>
      <c r="K36" s="87"/>
      <c r="L36" s="87"/>
      <c r="M36" s="87"/>
    </row>
    <row r="37" spans="1:13" s="4" customFormat="1" ht="10.5">
      <c r="A37" s="106"/>
      <c r="B37" s="98" t="s">
        <v>0</v>
      </c>
      <c r="C37" s="88" t="s">
        <v>23</v>
      </c>
      <c r="D37" s="88" t="s">
        <v>24</v>
      </c>
      <c r="E37" s="88" t="s">
        <v>25</v>
      </c>
      <c r="F37" s="106"/>
      <c r="G37" s="106"/>
      <c r="H37" s="111"/>
      <c r="I37" s="106"/>
      <c r="J37" s="106"/>
      <c r="K37" s="106"/>
      <c r="L37" s="106"/>
      <c r="M37" s="106"/>
    </row>
    <row r="38" spans="1:13" s="4" customFormat="1" ht="10.5">
      <c r="A38" s="112"/>
      <c r="B38" s="90" t="str">
        <f>+D4</f>
        <v>Ⅱ</v>
      </c>
      <c r="C38" s="112">
        <f>+'地位級Ⅲ'!C38</f>
        <v>26.7558</v>
      </c>
      <c r="D38" s="112">
        <f>+'地位級Ⅲ'!D38</f>
        <v>1.1416</v>
      </c>
      <c r="E38" s="112">
        <f>+'地位級Ⅲ'!E38</f>
        <v>0.0425</v>
      </c>
      <c r="F38" s="112"/>
      <c r="G38" s="112"/>
      <c r="H38" s="113"/>
      <c r="I38" s="114"/>
      <c r="J38" s="114"/>
      <c r="K38" s="114"/>
      <c r="L38" s="114"/>
      <c r="M38" s="114"/>
    </row>
    <row r="39" spans="1:12" ht="12">
      <c r="A39" s="3"/>
      <c r="B39" s="3"/>
      <c r="C39" s="3"/>
      <c r="D39" s="3"/>
      <c r="E39" s="3"/>
      <c r="F39" s="3"/>
      <c r="G39" s="3"/>
      <c r="H39" s="3"/>
      <c r="I39" s="3"/>
      <c r="J39" s="3"/>
      <c r="K39" s="3"/>
      <c r="L39" s="3"/>
    </row>
    <row r="40" s="1" customFormat="1" ht="12"/>
  </sheetData>
  <sheetProtection password="D7CD" sheet="1" objects="1" scenarios="1" selectLockedCells="1"/>
  <mergeCells count="3">
    <mergeCell ref="D2:G2"/>
    <mergeCell ref="I2:L4"/>
    <mergeCell ref="B28:E30"/>
  </mergeCells>
  <printOptions/>
  <pageMargins left="0.75" right="0.75" top="1" bottom="1" header="0.512" footer="0.51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M39"/>
  <sheetViews>
    <sheetView tabSelected="1" workbookViewId="0" topLeftCell="A4">
      <selection activeCell="E4" sqref="E4"/>
    </sheetView>
  </sheetViews>
  <sheetFormatPr defaultColWidth="8.66015625" defaultRowHeight="18"/>
  <cols>
    <col min="1" max="1" width="2.0820312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3.41015625" style="2" customWidth="1"/>
    <col min="14" max="16384" width="8.66015625" style="2" customWidth="1"/>
  </cols>
  <sheetData>
    <row r="1" spans="1:13" ht="12.75" thickBot="1">
      <c r="A1" s="47"/>
      <c r="B1" s="47"/>
      <c r="C1" s="47"/>
      <c r="D1" s="47"/>
      <c r="E1" s="47"/>
      <c r="F1" s="47"/>
      <c r="G1" s="47"/>
      <c r="H1" s="47"/>
      <c r="I1" s="47"/>
      <c r="J1" s="47"/>
      <c r="K1" s="47"/>
      <c r="L1" s="47"/>
      <c r="M1" s="47"/>
    </row>
    <row r="2" spans="1:13" ht="11.25" customHeight="1">
      <c r="A2" s="47"/>
      <c r="B2" s="44" t="s">
        <v>44</v>
      </c>
      <c r="C2" s="27"/>
      <c r="D2" s="126" t="s">
        <v>37</v>
      </c>
      <c r="E2" s="126"/>
      <c r="F2" s="126"/>
      <c r="G2" s="126"/>
      <c r="H2" s="40"/>
      <c r="I2" s="127" t="s">
        <v>43</v>
      </c>
      <c r="J2" s="128"/>
      <c r="K2" s="128"/>
      <c r="L2" s="129"/>
      <c r="M2" s="47"/>
    </row>
    <row r="3" spans="1:13" ht="12">
      <c r="A3" s="48"/>
      <c r="B3" s="27"/>
      <c r="C3" s="27"/>
      <c r="D3" s="31" t="s">
        <v>29</v>
      </c>
      <c r="E3" s="31" t="s">
        <v>39</v>
      </c>
      <c r="F3" s="31" t="s">
        <v>40</v>
      </c>
      <c r="G3" s="31" t="s">
        <v>38</v>
      </c>
      <c r="H3" s="27"/>
      <c r="I3" s="130"/>
      <c r="J3" s="131"/>
      <c r="K3" s="131"/>
      <c r="L3" s="132"/>
      <c r="M3" s="47"/>
    </row>
    <row r="4" spans="1:13" ht="12.75" thickBot="1">
      <c r="A4" s="48"/>
      <c r="B4" s="27"/>
      <c r="C4" s="27"/>
      <c r="D4" s="78" t="s">
        <v>49</v>
      </c>
      <c r="E4" s="23">
        <v>18</v>
      </c>
      <c r="F4" s="86">
        <f>($C$38)*(1-($D$38)*EXP(-$E$38*(E4)))</f>
        <v>12.542444376442132</v>
      </c>
      <c r="G4" s="23">
        <v>1000</v>
      </c>
      <c r="H4" s="27"/>
      <c r="I4" s="133"/>
      <c r="J4" s="134"/>
      <c r="K4" s="134"/>
      <c r="L4" s="135"/>
      <c r="M4" s="47"/>
    </row>
    <row r="5" spans="1:13" ht="19.5" customHeight="1">
      <c r="A5" s="47"/>
      <c r="B5" s="24" t="s">
        <v>42</v>
      </c>
      <c r="C5" s="25"/>
      <c r="D5" s="26"/>
      <c r="E5" s="27"/>
      <c r="F5" s="27"/>
      <c r="G5" s="28"/>
      <c r="H5" s="29"/>
      <c r="I5" s="29"/>
      <c r="J5" s="30"/>
      <c r="K5" s="29"/>
      <c r="L5" s="29"/>
      <c r="M5" s="47"/>
    </row>
    <row r="6" spans="1:13" ht="12">
      <c r="A6" s="47"/>
      <c r="B6" s="31" t="s">
        <v>33</v>
      </c>
      <c r="C6" s="32">
        <f>E4*1</f>
        <v>18</v>
      </c>
      <c r="D6" s="6">
        <f>J21*1</f>
        <v>23</v>
      </c>
      <c r="E6" s="6">
        <f>J22*1</f>
        <v>28</v>
      </c>
      <c r="F6" s="6">
        <f>J23*1</f>
        <v>33</v>
      </c>
      <c r="G6" s="6">
        <f>J24*1</f>
        <v>38</v>
      </c>
      <c r="H6" s="6">
        <f>J25*1</f>
        <v>43</v>
      </c>
      <c r="I6" s="6">
        <f>J26*1</f>
        <v>48</v>
      </c>
      <c r="J6" s="6">
        <f>J27*1</f>
        <v>53</v>
      </c>
      <c r="K6" s="6">
        <f>J28*1</f>
        <v>58</v>
      </c>
      <c r="L6" s="6">
        <f>J29*1</f>
        <v>63</v>
      </c>
      <c r="M6" s="47"/>
    </row>
    <row r="7" spans="1:13" ht="12">
      <c r="A7" s="47"/>
      <c r="B7" s="33" t="s">
        <v>60</v>
      </c>
      <c r="C7" s="34">
        <f>F4*1</f>
        <v>12.542444376442132</v>
      </c>
      <c r="D7" s="7">
        <f>K21*1</f>
        <v>15.263444681026755</v>
      </c>
      <c r="E7" s="7">
        <f>K22*1</f>
        <v>17.463537548012468</v>
      </c>
      <c r="F7" s="7">
        <f>K23*1</f>
        <v>19.242445332479004</v>
      </c>
      <c r="G7" s="7">
        <f>K24*1</f>
        <v>20.680799573393962</v>
      </c>
      <c r="H7" s="7">
        <f>K25*1</f>
        <v>21.843795733410463</v>
      </c>
      <c r="I7" s="7">
        <f>K26*1</f>
        <v>22.784148276434042</v>
      </c>
      <c r="J7" s="7">
        <f>K27*1</f>
        <v>23.544480026074865</v>
      </c>
      <c r="K7" s="7">
        <f>K28*1</f>
        <v>24.159254106073696</v>
      </c>
      <c r="L7" s="7">
        <f>K29*1</f>
        <v>24.65633603066378</v>
      </c>
      <c r="M7" s="47"/>
    </row>
    <row r="8" spans="1:13" ht="12">
      <c r="A8" s="47"/>
      <c r="B8" s="35" t="s">
        <v>31</v>
      </c>
      <c r="C8" s="36">
        <f>G4*1</f>
        <v>1000</v>
      </c>
      <c r="D8" s="8">
        <f aca="true" t="shared" si="0" ref="D8:L8">C8*1</f>
        <v>1000</v>
      </c>
      <c r="E8" s="8">
        <f t="shared" si="0"/>
        <v>1000</v>
      </c>
      <c r="F8" s="8">
        <f t="shared" si="0"/>
        <v>1000</v>
      </c>
      <c r="G8" s="8">
        <f t="shared" si="0"/>
        <v>1000</v>
      </c>
      <c r="H8" s="8">
        <f t="shared" si="0"/>
        <v>1000</v>
      </c>
      <c r="I8" s="8">
        <f t="shared" si="0"/>
        <v>1000</v>
      </c>
      <c r="J8" s="8">
        <f t="shared" si="0"/>
        <v>1000</v>
      </c>
      <c r="K8" s="8">
        <f t="shared" si="0"/>
        <v>1000</v>
      </c>
      <c r="L8" s="8">
        <f t="shared" si="0"/>
        <v>1000</v>
      </c>
      <c r="M8" s="47"/>
    </row>
    <row r="9" spans="1:13" ht="12">
      <c r="A9" s="47"/>
      <c r="B9" s="35" t="s">
        <v>59</v>
      </c>
      <c r="C9" s="37">
        <f aca="true" t="shared" si="1" ref="C9:L9">($G$32)+($G$33)*(C15)+($G$34)*SQRT(C8)*(C7)/100</f>
        <v>15.47882673542809</v>
      </c>
      <c r="D9" s="22">
        <f t="shared" si="1"/>
        <v>17.396323448279308</v>
      </c>
      <c r="E9" s="22">
        <f t="shared" si="1"/>
        <v>18.66798993879329</v>
      </c>
      <c r="F9" s="22">
        <f t="shared" si="1"/>
        <v>19.552343026940072</v>
      </c>
      <c r="G9" s="22">
        <f t="shared" si="1"/>
        <v>20.189611597688323</v>
      </c>
      <c r="H9" s="22">
        <f t="shared" si="1"/>
        <v>20.66113867898029</v>
      </c>
      <c r="I9" s="22">
        <f t="shared" si="1"/>
        <v>21.017011527753795</v>
      </c>
      <c r="J9" s="22">
        <f t="shared" si="1"/>
        <v>21.289655479135824</v>
      </c>
      <c r="K9" s="22">
        <f t="shared" si="1"/>
        <v>21.5009456636737</v>
      </c>
      <c r="L9" s="22">
        <f t="shared" si="1"/>
        <v>21.666146051982732</v>
      </c>
      <c r="M9" s="47"/>
    </row>
    <row r="10" spans="1:13" ht="12">
      <c r="A10" s="47"/>
      <c r="B10" s="38" t="s">
        <v>36</v>
      </c>
      <c r="C10" s="39">
        <f aca="true" t="shared" si="2" ref="C10:L10">($C$32*(C7)^($C$33)+($C$34)*(C7)^($C$35)/(C8))^(-1)</f>
        <v>129.7084453084697</v>
      </c>
      <c r="D10" s="9">
        <f t="shared" si="2"/>
        <v>195.7980621525418</v>
      </c>
      <c r="E10" s="9">
        <f t="shared" si="2"/>
        <v>255.25621472957636</v>
      </c>
      <c r="F10" s="9">
        <f t="shared" si="2"/>
        <v>306.4455370942929</v>
      </c>
      <c r="G10" s="9">
        <f t="shared" si="2"/>
        <v>349.5410295381142</v>
      </c>
      <c r="H10" s="9">
        <f t="shared" si="2"/>
        <v>385.36330623717754</v>
      </c>
      <c r="I10" s="9">
        <f t="shared" si="2"/>
        <v>414.9059568005024</v>
      </c>
      <c r="J10" s="9">
        <f t="shared" si="2"/>
        <v>439.14345115247295</v>
      </c>
      <c r="K10" s="9">
        <f t="shared" si="2"/>
        <v>458.9571655503686</v>
      </c>
      <c r="L10" s="9">
        <f t="shared" si="2"/>
        <v>475.11292728417584</v>
      </c>
      <c r="M10" s="47"/>
    </row>
    <row r="11" spans="1:13" ht="12">
      <c r="A11" s="47"/>
      <c r="B11" s="33" t="s">
        <v>30</v>
      </c>
      <c r="C11" s="123">
        <f aca="true" t="shared" si="3" ref="C11:L11">IF(C10/C17&gt;=0.99,"1以上",C10/C17)</f>
        <v>0.6289901309763024</v>
      </c>
      <c r="D11" s="124">
        <f t="shared" si="3"/>
        <v>0.7392860369025782</v>
      </c>
      <c r="E11" s="124">
        <f t="shared" si="3"/>
        <v>0.811805455172363</v>
      </c>
      <c r="F11" s="124">
        <f t="shared" si="3"/>
        <v>0.8612704287543962</v>
      </c>
      <c r="G11" s="124">
        <f t="shared" si="3"/>
        <v>0.8961601111817045</v>
      </c>
      <c r="H11" s="124">
        <f t="shared" si="3"/>
        <v>0.9214595179901086</v>
      </c>
      <c r="I11" s="124">
        <f t="shared" si="3"/>
        <v>0.9402155934139443</v>
      </c>
      <c r="J11" s="124">
        <f t="shared" si="3"/>
        <v>0.954367123283678</v>
      </c>
      <c r="K11" s="124">
        <f t="shared" si="3"/>
        <v>0.9651941191159349</v>
      </c>
      <c r="L11" s="124">
        <f t="shared" si="3"/>
        <v>0.9735695166879041</v>
      </c>
      <c r="M11" s="47"/>
    </row>
    <row r="12" spans="1:13" ht="12">
      <c r="A12" s="47"/>
      <c r="B12" s="38" t="s">
        <v>58</v>
      </c>
      <c r="C12" s="125">
        <f>+C7/C9*100</f>
        <v>81.02968390837313</v>
      </c>
      <c r="D12" s="125">
        <f aca="true" t="shared" si="4" ref="D12:L12">+D7/D9*100</f>
        <v>87.73948545166009</v>
      </c>
      <c r="E12" s="125">
        <f t="shared" si="4"/>
        <v>93.54803385511853</v>
      </c>
      <c r="F12" s="125">
        <f t="shared" si="4"/>
        <v>98.41503550733496</v>
      </c>
      <c r="G12" s="125">
        <f t="shared" si="4"/>
        <v>102.43287481450054</v>
      </c>
      <c r="H12" s="125">
        <f t="shared" si="4"/>
        <v>105.72406522605337</v>
      </c>
      <c r="I12" s="125">
        <f t="shared" si="4"/>
        <v>108.40812570496368</v>
      </c>
      <c r="J12" s="125">
        <f t="shared" si="4"/>
        <v>110.59117442811042</v>
      </c>
      <c r="K12" s="125">
        <f t="shared" si="4"/>
        <v>112.36368150490823</v>
      </c>
      <c r="L12" s="125">
        <f t="shared" si="4"/>
        <v>113.80120844522511</v>
      </c>
      <c r="M12" s="47"/>
    </row>
    <row r="13" spans="1:13" s="5" customFormat="1" ht="10.5">
      <c r="A13" s="87"/>
      <c r="B13" s="88" t="s">
        <v>2</v>
      </c>
      <c r="C13" s="89">
        <f aca="true" t="shared" si="5" ref="C13:L13">C10/C14</f>
        <v>19.88357644687655</v>
      </c>
      <c r="D13" s="89">
        <f t="shared" si="5"/>
        <v>25.0599398545945</v>
      </c>
      <c r="E13" s="89">
        <f t="shared" si="5"/>
        <v>28.8227560297765</v>
      </c>
      <c r="F13" s="89">
        <f t="shared" si="5"/>
        <v>31.594624576316132</v>
      </c>
      <c r="G13" s="89">
        <f t="shared" si="5"/>
        <v>33.67092348239188</v>
      </c>
      <c r="H13" s="89">
        <f t="shared" si="5"/>
        <v>35.24974571471302</v>
      </c>
      <c r="I13" s="89">
        <f t="shared" si="5"/>
        <v>36.46527285032145</v>
      </c>
      <c r="J13" s="89">
        <f t="shared" si="5"/>
        <v>37.41046091173069</v>
      </c>
      <c r="K13" s="89">
        <f t="shared" si="5"/>
        <v>38.15126844857591</v>
      </c>
      <c r="L13" s="89">
        <f t="shared" si="5"/>
        <v>38.73553925515411</v>
      </c>
      <c r="M13" s="87"/>
    </row>
    <row r="14" spans="1:13" s="5" customFormat="1" ht="10.5">
      <c r="A14" s="87"/>
      <c r="B14" s="88" t="s">
        <v>1</v>
      </c>
      <c r="C14" s="89">
        <f aca="true" t="shared" si="6" ref="C14:L14">($E$32)+($E$33)*(C7)+($E$34)*SQRT(C8)*(C7)/100</f>
        <v>6.523396113119539</v>
      </c>
      <c r="D14" s="89">
        <f t="shared" si="6"/>
        <v>7.813189628092587</v>
      </c>
      <c r="E14" s="89">
        <f t="shared" si="6"/>
        <v>8.856065480548555</v>
      </c>
      <c r="F14" s="89">
        <f t="shared" si="6"/>
        <v>9.699293509694357</v>
      </c>
      <c r="G14" s="89">
        <f t="shared" si="6"/>
        <v>10.3810942316716</v>
      </c>
      <c r="H14" s="89">
        <f t="shared" si="6"/>
        <v>10.932371239101714</v>
      </c>
      <c r="I14" s="89">
        <f t="shared" si="6"/>
        <v>11.378111950610153</v>
      </c>
      <c r="J14" s="89">
        <f t="shared" si="6"/>
        <v>11.738520201304764</v>
      </c>
      <c r="K14" s="89">
        <f t="shared" si="6"/>
        <v>12.02993201049126</v>
      </c>
      <c r="L14" s="89">
        <f t="shared" si="6"/>
        <v>12.265556035106902</v>
      </c>
      <c r="M14" s="87"/>
    </row>
    <row r="15" spans="1:13" s="5" customFormat="1" ht="10.5">
      <c r="A15" s="87"/>
      <c r="B15" s="88" t="s">
        <v>3</v>
      </c>
      <c r="C15" s="89">
        <f aca="true" t="shared" si="7" ref="C15:L15">200*SQRT(C13/3.14159/C8)</f>
        <v>15.911183867621498</v>
      </c>
      <c r="D15" s="89">
        <f t="shared" si="7"/>
        <v>17.86262392889857</v>
      </c>
      <c r="E15" s="89">
        <f t="shared" si="7"/>
        <v>19.156801341324286</v>
      </c>
      <c r="F15" s="89">
        <f t="shared" si="7"/>
        <v>20.056809165565927</v>
      </c>
      <c r="G15" s="89">
        <f t="shared" si="7"/>
        <v>20.705358605268362</v>
      </c>
      <c r="H15" s="89">
        <f t="shared" si="7"/>
        <v>21.185232615087116</v>
      </c>
      <c r="I15" s="89">
        <f t="shared" si="7"/>
        <v>21.5474050919227</v>
      </c>
      <c r="J15" s="89">
        <f t="shared" si="7"/>
        <v>21.824875361167983</v>
      </c>
      <c r="K15" s="89">
        <f t="shared" si="7"/>
        <v>22.039905784896188</v>
      </c>
      <c r="L15" s="89">
        <f t="shared" si="7"/>
        <v>22.208030535110446</v>
      </c>
      <c r="M15" s="87"/>
    </row>
    <row r="16" spans="1:13" s="5" customFormat="1" ht="10.5">
      <c r="A16" s="87"/>
      <c r="B16" s="88" t="s">
        <v>4</v>
      </c>
      <c r="C16" s="89">
        <f aca="true" t="shared" si="8" ref="C16:L16">10^(($I$32)+($I$34)*LOG(C7)/LOG(10))</f>
        <v>3752.991758584893</v>
      </c>
      <c r="D16" s="89">
        <f t="shared" si="8"/>
        <v>2645.944049306484</v>
      </c>
      <c r="E16" s="89">
        <f t="shared" si="8"/>
        <v>2081.9777886531865</v>
      </c>
      <c r="F16" s="89">
        <f t="shared" si="8"/>
        <v>1751.7834975249773</v>
      </c>
      <c r="G16" s="89">
        <f t="shared" si="8"/>
        <v>1540.806478651832</v>
      </c>
      <c r="H16" s="89">
        <f t="shared" si="8"/>
        <v>1397.8144757824261</v>
      </c>
      <c r="I16" s="89">
        <f t="shared" si="8"/>
        <v>1296.7725672284935</v>
      </c>
      <c r="J16" s="89">
        <f t="shared" si="8"/>
        <v>1223.1647815668769</v>
      </c>
      <c r="K16" s="89">
        <f t="shared" si="8"/>
        <v>1168.3066372262626</v>
      </c>
      <c r="L16" s="89">
        <f t="shared" si="8"/>
        <v>1126.707236172085</v>
      </c>
      <c r="M16" s="87"/>
    </row>
    <row r="17" spans="1:13" s="5" customFormat="1" ht="10.5">
      <c r="A17" s="87"/>
      <c r="B17" s="90" t="s">
        <v>5</v>
      </c>
      <c r="C17" s="91">
        <f aca="true" t="shared" si="9" ref="C17:L17">(($C$32)*(C7)^($C$33)+($C$34)*(C7)^($C$35)/(C16))^(-1)</f>
        <v>206.21698007747682</v>
      </c>
      <c r="D17" s="91">
        <f t="shared" si="9"/>
        <v>264.84750472616287</v>
      </c>
      <c r="E17" s="91">
        <f t="shared" si="9"/>
        <v>314.430277726306</v>
      </c>
      <c r="F17" s="91">
        <f t="shared" si="9"/>
        <v>355.8064074456692</v>
      </c>
      <c r="G17" s="91">
        <f t="shared" si="9"/>
        <v>390.04305723583093</v>
      </c>
      <c r="H17" s="91">
        <f t="shared" si="9"/>
        <v>418.2096974566323</v>
      </c>
      <c r="I17" s="91">
        <f t="shared" si="9"/>
        <v>441.2881042463563</v>
      </c>
      <c r="J17" s="91">
        <f t="shared" si="9"/>
        <v>460.14100909251573</v>
      </c>
      <c r="K17" s="91">
        <f t="shared" si="9"/>
        <v>475.507627388725</v>
      </c>
      <c r="L17" s="91">
        <f t="shared" si="9"/>
        <v>488.0113018539406</v>
      </c>
      <c r="M17" s="87"/>
    </row>
    <row r="18" spans="1:13" ht="12">
      <c r="A18" s="92"/>
      <c r="B18" s="93"/>
      <c r="C18" s="94"/>
      <c r="D18" s="94"/>
      <c r="E18" s="94"/>
      <c r="F18" s="94"/>
      <c r="G18" s="94"/>
      <c r="H18" s="94"/>
      <c r="I18" s="94"/>
      <c r="J18" s="94"/>
      <c r="K18" s="94"/>
      <c r="L18" s="94"/>
      <c r="M18" s="92"/>
    </row>
    <row r="19" spans="1:13" ht="12">
      <c r="A19" s="92"/>
      <c r="B19" s="92"/>
      <c r="C19" s="92"/>
      <c r="D19" s="94"/>
      <c r="E19" s="94"/>
      <c r="F19" s="94"/>
      <c r="G19" s="94"/>
      <c r="H19" s="94"/>
      <c r="I19" s="95" t="s">
        <v>50</v>
      </c>
      <c r="J19" s="96"/>
      <c r="K19" s="96"/>
      <c r="L19" s="94"/>
      <c r="M19" s="92"/>
    </row>
    <row r="20" spans="1:13" ht="12">
      <c r="A20" s="92"/>
      <c r="B20" s="97"/>
      <c r="C20" s="98"/>
      <c r="D20" s="94"/>
      <c r="E20" s="94"/>
      <c r="F20" s="94"/>
      <c r="G20" s="94"/>
      <c r="H20" s="94"/>
      <c r="I20" s="99">
        <f>0.856*LN(E4/5)+1.2998</f>
        <v>2.396279371715527</v>
      </c>
      <c r="J20" s="96"/>
      <c r="K20" s="96"/>
      <c r="L20" s="94"/>
      <c r="M20" s="92"/>
    </row>
    <row r="21" spans="1:13" ht="12">
      <c r="A21" s="92"/>
      <c r="B21" s="97"/>
      <c r="C21" s="98"/>
      <c r="D21" s="94"/>
      <c r="E21" s="94"/>
      <c r="F21" s="94"/>
      <c r="G21" s="94"/>
      <c r="H21" s="94"/>
      <c r="I21" s="99">
        <f>0.856*LN(J21/5)+1.2998</f>
        <v>2.606104195791762</v>
      </c>
      <c r="J21" s="100">
        <f>E4+5</f>
        <v>23</v>
      </c>
      <c r="K21" s="101">
        <f>($C$38)*(1-($D$38)*EXP(-$E$38*(J21)))</f>
        <v>15.263444681026755</v>
      </c>
      <c r="L21" s="94"/>
      <c r="M21" s="92"/>
    </row>
    <row r="22" spans="1:13" ht="12">
      <c r="A22" s="92"/>
      <c r="B22" s="97"/>
      <c r="C22" s="98"/>
      <c r="D22" s="94"/>
      <c r="E22" s="94"/>
      <c r="F22" s="94"/>
      <c r="G22" s="94"/>
      <c r="H22" s="94"/>
      <c r="I22" s="99">
        <f aca="true" t="shared" si="10" ref="I22:I29">0.856*LN(J22/5)+1.2998</f>
        <v>2.7744882076663844</v>
      </c>
      <c r="J22" s="100">
        <f aca="true" t="shared" si="11" ref="J22:J29">J21+5</f>
        <v>28</v>
      </c>
      <c r="K22" s="101">
        <f aca="true" t="shared" si="12" ref="K22:K29">($C$38)*(1-($D$38)*EXP(-$E$38*(J22)))</f>
        <v>17.463537548012468</v>
      </c>
      <c r="L22" s="94"/>
      <c r="M22" s="92"/>
    </row>
    <row r="23" spans="1:13" ht="12">
      <c r="A23" s="92"/>
      <c r="B23" s="97"/>
      <c r="C23" s="98"/>
      <c r="D23" s="94"/>
      <c r="E23" s="94"/>
      <c r="F23" s="94"/>
      <c r="G23" s="94"/>
      <c r="H23" s="94"/>
      <c r="I23" s="99">
        <f t="shared" si="10"/>
        <v>2.915131619571717</v>
      </c>
      <c r="J23" s="100">
        <f t="shared" si="11"/>
        <v>33</v>
      </c>
      <c r="K23" s="101">
        <f t="shared" si="12"/>
        <v>19.242445332479004</v>
      </c>
      <c r="L23" s="94"/>
      <c r="M23" s="92"/>
    </row>
    <row r="24" spans="1:13" ht="12">
      <c r="A24" s="92"/>
      <c r="B24" s="97"/>
      <c r="C24" s="98"/>
      <c r="D24" s="102"/>
      <c r="E24" s="102"/>
      <c r="F24" s="92"/>
      <c r="G24" s="92"/>
      <c r="H24" s="102"/>
      <c r="I24" s="99">
        <f t="shared" si="10"/>
        <v>3.035894899682196</v>
      </c>
      <c r="J24" s="100">
        <f t="shared" si="11"/>
        <v>38</v>
      </c>
      <c r="K24" s="101">
        <f t="shared" si="12"/>
        <v>20.680799573393962</v>
      </c>
      <c r="L24" s="102"/>
      <c r="M24" s="92"/>
    </row>
    <row r="25" spans="1:13" ht="12">
      <c r="A25" s="103"/>
      <c r="B25" s="98"/>
      <c r="C25" s="98"/>
      <c r="D25" s="103"/>
      <c r="E25" s="103"/>
      <c r="F25" s="103"/>
      <c r="G25" s="103"/>
      <c r="H25" s="94"/>
      <c r="I25" s="99">
        <f t="shared" si="10"/>
        <v>3.1417084459900995</v>
      </c>
      <c r="J25" s="100">
        <f t="shared" si="11"/>
        <v>43</v>
      </c>
      <c r="K25" s="101">
        <f t="shared" si="12"/>
        <v>21.843795733410463</v>
      </c>
      <c r="L25" s="103"/>
      <c r="M25" s="92"/>
    </row>
    <row r="26" spans="1:13" ht="12">
      <c r="A26" s="103"/>
      <c r="B26" s="98"/>
      <c r="C26" s="98"/>
      <c r="D26" s="103"/>
      <c r="E26" s="103"/>
      <c r="F26" s="103"/>
      <c r="G26" s="103"/>
      <c r="H26" s="94"/>
      <c r="I26" s="99">
        <f t="shared" si="10"/>
        <v>3.235869212293565</v>
      </c>
      <c r="J26" s="100">
        <f t="shared" si="11"/>
        <v>48</v>
      </c>
      <c r="K26" s="101">
        <f t="shared" si="12"/>
        <v>22.784148276434042</v>
      </c>
      <c r="L26" s="103"/>
      <c r="M26" s="92"/>
    </row>
    <row r="27" spans="1:13" ht="12">
      <c r="A27" s="103"/>
      <c r="B27" s="98"/>
      <c r="C27" s="98"/>
      <c r="D27" s="103"/>
      <c r="E27" s="103"/>
      <c r="F27" s="103"/>
      <c r="G27" s="103"/>
      <c r="H27" s="94"/>
      <c r="I27" s="99">
        <f t="shared" si="10"/>
        <v>3.3206910249570267</v>
      </c>
      <c r="J27" s="100">
        <f t="shared" si="11"/>
        <v>53</v>
      </c>
      <c r="K27" s="101">
        <f t="shared" si="12"/>
        <v>23.544480026074865</v>
      </c>
      <c r="L27" s="103"/>
      <c r="M27" s="92"/>
    </row>
    <row r="28" spans="1:13" ht="12">
      <c r="A28" s="103"/>
      <c r="B28" s="98"/>
      <c r="C28" s="98"/>
      <c r="D28" s="103"/>
      <c r="E28" s="103"/>
      <c r="F28" s="103"/>
      <c r="G28" s="103"/>
      <c r="H28" s="94"/>
      <c r="I28" s="99">
        <f t="shared" si="10"/>
        <v>3.3978603639841447</v>
      </c>
      <c r="J28" s="100">
        <f t="shared" si="11"/>
        <v>58</v>
      </c>
      <c r="K28" s="101">
        <f t="shared" si="12"/>
        <v>24.159254106073696</v>
      </c>
      <c r="L28" s="103"/>
      <c r="M28" s="92"/>
    </row>
    <row r="29" spans="1:13" ht="12">
      <c r="A29" s="103"/>
      <c r="B29" s="98"/>
      <c r="C29" s="98"/>
      <c r="D29" s="103"/>
      <c r="E29" s="103"/>
      <c r="F29" s="103"/>
      <c r="G29" s="103"/>
      <c r="H29" s="94"/>
      <c r="I29" s="99">
        <f t="shared" si="10"/>
        <v>3.4686444727475623</v>
      </c>
      <c r="J29" s="100">
        <f t="shared" si="11"/>
        <v>63</v>
      </c>
      <c r="K29" s="101">
        <f t="shared" si="12"/>
        <v>24.65633603066378</v>
      </c>
      <c r="L29" s="103"/>
      <c r="M29" s="92"/>
    </row>
    <row r="30" spans="1:13" ht="12">
      <c r="A30" s="103"/>
      <c r="B30" s="98"/>
      <c r="C30" s="98"/>
      <c r="D30" s="103"/>
      <c r="E30" s="103"/>
      <c r="F30" s="103"/>
      <c r="G30" s="103"/>
      <c r="H30" s="94"/>
      <c r="I30" s="103"/>
      <c r="J30" s="103"/>
      <c r="K30" s="103"/>
      <c r="L30" s="103"/>
      <c r="M30" s="92"/>
    </row>
    <row r="31" spans="1:13" s="4" customFormat="1" ht="10.5">
      <c r="A31" s="115"/>
      <c r="B31" s="116" t="s">
        <v>6</v>
      </c>
      <c r="C31" s="115"/>
      <c r="D31" s="116" t="s">
        <v>7</v>
      </c>
      <c r="E31" s="115"/>
      <c r="F31" s="117" t="s">
        <v>8</v>
      </c>
      <c r="G31" s="115"/>
      <c r="H31" s="116" t="s">
        <v>9</v>
      </c>
      <c r="I31" s="115"/>
      <c r="J31" s="115"/>
      <c r="K31" s="87"/>
      <c r="L31" s="87"/>
      <c r="M31" s="87"/>
    </row>
    <row r="32" spans="1:13" s="4" customFormat="1" ht="10.5">
      <c r="A32" s="106"/>
      <c r="B32" s="98" t="s">
        <v>10</v>
      </c>
      <c r="C32" s="108">
        <v>0.095669</v>
      </c>
      <c r="D32" s="98" t="s">
        <v>11</v>
      </c>
      <c r="E32" s="108">
        <v>0.578096</v>
      </c>
      <c r="F32" s="98" t="s">
        <v>12</v>
      </c>
      <c r="G32" s="109">
        <v>-0.155598</v>
      </c>
      <c r="H32" s="98" t="s">
        <v>13</v>
      </c>
      <c r="I32" s="108">
        <v>5.5297</v>
      </c>
      <c r="J32" s="106"/>
      <c r="K32" s="87"/>
      <c r="L32" s="87"/>
      <c r="M32" s="87"/>
    </row>
    <row r="33" spans="1:13" s="4" customFormat="1" ht="10.5">
      <c r="A33" s="106"/>
      <c r="B33" s="98" t="s">
        <v>14</v>
      </c>
      <c r="C33" s="108">
        <v>-1.274434</v>
      </c>
      <c r="D33" s="98" t="s">
        <v>15</v>
      </c>
      <c r="E33" s="108">
        <v>0.460651</v>
      </c>
      <c r="F33" s="98" t="s">
        <v>16</v>
      </c>
      <c r="G33" s="109">
        <v>0.982606</v>
      </c>
      <c r="H33" s="98" t="s">
        <v>17</v>
      </c>
      <c r="I33" s="106"/>
      <c r="J33" s="106"/>
      <c r="K33" s="87"/>
      <c r="L33" s="87"/>
      <c r="M33" s="87"/>
    </row>
    <row r="34" spans="1:13" s="4" customFormat="1" ht="10.5">
      <c r="A34" s="106"/>
      <c r="B34" s="98" t="s">
        <v>18</v>
      </c>
      <c r="C34" s="108">
        <v>8833.4</v>
      </c>
      <c r="D34" s="98" t="s">
        <v>19</v>
      </c>
      <c r="E34" s="108">
        <v>0.042259</v>
      </c>
      <c r="F34" s="98" t="s">
        <v>20</v>
      </c>
      <c r="G34" s="109">
        <v>0</v>
      </c>
      <c r="H34" s="98" t="s">
        <v>21</v>
      </c>
      <c r="I34" s="108">
        <f>C35-(C33)</f>
        <v>-1.780184</v>
      </c>
      <c r="J34" s="106"/>
      <c r="K34" s="87"/>
      <c r="L34" s="87"/>
      <c r="M34" s="87"/>
    </row>
    <row r="35" spans="1:13" s="4" customFormat="1" ht="10.5">
      <c r="A35" s="106"/>
      <c r="B35" s="98" t="s">
        <v>22</v>
      </c>
      <c r="C35" s="108">
        <v>-3.054618</v>
      </c>
      <c r="D35" s="106"/>
      <c r="E35" s="106"/>
      <c r="F35" s="106"/>
      <c r="G35" s="106"/>
      <c r="H35" s="106"/>
      <c r="I35" s="106"/>
      <c r="J35" s="106"/>
      <c r="K35" s="87"/>
      <c r="L35" s="87"/>
      <c r="M35" s="87"/>
    </row>
    <row r="36" spans="1:13" s="4" customFormat="1" ht="10.5">
      <c r="A36" s="106"/>
      <c r="B36" s="98" t="s">
        <v>51</v>
      </c>
      <c r="C36" s="106"/>
      <c r="D36" s="106"/>
      <c r="E36" s="106"/>
      <c r="F36" s="110" t="s">
        <v>26</v>
      </c>
      <c r="G36" s="106"/>
      <c r="H36" s="111"/>
      <c r="I36" s="118"/>
      <c r="J36" s="118"/>
      <c r="K36" s="87"/>
      <c r="L36" s="87"/>
      <c r="M36" s="87"/>
    </row>
    <row r="37" spans="1:13" s="4" customFormat="1" ht="10.5">
      <c r="A37" s="106"/>
      <c r="B37" s="98" t="s">
        <v>0</v>
      </c>
      <c r="C37" s="88" t="s">
        <v>23</v>
      </c>
      <c r="D37" s="88" t="s">
        <v>24</v>
      </c>
      <c r="E37" s="88" t="s">
        <v>25</v>
      </c>
      <c r="F37" s="106"/>
      <c r="G37" s="106"/>
      <c r="H37" s="111"/>
      <c r="I37" s="118"/>
      <c r="J37" s="118"/>
      <c r="K37" s="87"/>
      <c r="L37" s="87"/>
      <c r="M37" s="87"/>
    </row>
    <row r="38" spans="1:13" s="4" customFormat="1" ht="10.5">
      <c r="A38" s="112"/>
      <c r="B38" s="90" t="str">
        <f>+D4</f>
        <v>Ⅲ</v>
      </c>
      <c r="C38" s="112">
        <v>26.7558</v>
      </c>
      <c r="D38" s="112">
        <v>1.1416</v>
      </c>
      <c r="E38" s="112">
        <v>0.0425</v>
      </c>
      <c r="F38" s="112"/>
      <c r="G38" s="112"/>
      <c r="H38" s="113"/>
      <c r="I38" s="119"/>
      <c r="J38" s="119"/>
      <c r="K38" s="112"/>
      <c r="L38" s="112"/>
      <c r="M38" s="87"/>
    </row>
    <row r="39" spans="1:12" ht="12">
      <c r="A39" s="3"/>
      <c r="B39" s="3"/>
      <c r="C39" s="3"/>
      <c r="D39" s="3"/>
      <c r="E39" s="3"/>
      <c r="F39" s="3"/>
      <c r="G39" s="3"/>
      <c r="H39" s="3"/>
      <c r="I39" s="3"/>
      <c r="J39" s="3"/>
      <c r="K39" s="3"/>
      <c r="L39" s="3"/>
    </row>
  </sheetData>
  <sheetProtection password="D7CD" sheet="1" objects="1" scenarios="1" selectLockedCells="1"/>
  <mergeCells count="2">
    <mergeCell ref="D2:G2"/>
    <mergeCell ref="I2:L4"/>
  </mergeCells>
  <printOptions/>
  <pageMargins left="0.75" right="0.75" top="1" bottom="1" header="0.512" footer="0.512"/>
  <pageSetup horizontalDpi="600" verticalDpi="600" orientation="portrait" paperSize="9" scale="85" r:id="rId2"/>
  <drawing r:id="rId1"/>
</worksheet>
</file>

<file path=xl/worksheets/sheet5.xml><?xml version="1.0" encoding="utf-8"?>
<worksheet xmlns="http://schemas.openxmlformats.org/spreadsheetml/2006/main" xmlns:r="http://schemas.openxmlformats.org/officeDocument/2006/relationships">
  <dimension ref="A1:M39"/>
  <sheetViews>
    <sheetView workbookViewId="0" topLeftCell="A4">
      <selection activeCell="E4" sqref="E4"/>
    </sheetView>
  </sheetViews>
  <sheetFormatPr defaultColWidth="8.66015625" defaultRowHeight="18"/>
  <cols>
    <col min="1" max="1" width="1.8320312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4" style="2" customWidth="1"/>
    <col min="14" max="16384" width="8.66015625" style="2" customWidth="1"/>
  </cols>
  <sheetData>
    <row r="1" spans="1:13" ht="12.75" thickBot="1">
      <c r="A1" s="47"/>
      <c r="B1" s="47"/>
      <c r="C1" s="47"/>
      <c r="D1" s="139"/>
      <c r="E1" s="139"/>
      <c r="F1" s="139"/>
      <c r="G1" s="139"/>
      <c r="H1" s="139"/>
      <c r="I1" s="47"/>
      <c r="J1" s="47"/>
      <c r="K1" s="47"/>
      <c r="L1" s="47"/>
      <c r="M1" s="47"/>
    </row>
    <row r="2" spans="1:13" ht="12">
      <c r="A2" s="48"/>
      <c r="B2" s="44" t="s">
        <v>44</v>
      </c>
      <c r="C2" s="27"/>
      <c r="D2" s="126" t="s">
        <v>37</v>
      </c>
      <c r="E2" s="126"/>
      <c r="F2" s="126"/>
      <c r="G2" s="126"/>
      <c r="H2" s="40"/>
      <c r="I2" s="127" t="s">
        <v>43</v>
      </c>
      <c r="J2" s="128"/>
      <c r="K2" s="128"/>
      <c r="L2" s="129"/>
      <c r="M2" s="47"/>
    </row>
    <row r="3" spans="1:13" ht="12">
      <c r="A3" s="48"/>
      <c r="B3" s="27"/>
      <c r="C3" s="27"/>
      <c r="D3" s="31" t="s">
        <v>29</v>
      </c>
      <c r="E3" s="31" t="s">
        <v>39</v>
      </c>
      <c r="F3" s="31" t="s">
        <v>40</v>
      </c>
      <c r="G3" s="31" t="s">
        <v>38</v>
      </c>
      <c r="H3" s="27"/>
      <c r="I3" s="130"/>
      <c r="J3" s="131"/>
      <c r="K3" s="131"/>
      <c r="L3" s="132"/>
      <c r="M3" s="47"/>
    </row>
    <row r="4" spans="1:13" ht="12.75" thickBot="1">
      <c r="A4" s="48"/>
      <c r="B4" s="27"/>
      <c r="C4" s="27"/>
      <c r="D4" s="78" t="s">
        <v>52</v>
      </c>
      <c r="E4" s="23">
        <v>50</v>
      </c>
      <c r="F4" s="86">
        <f>($C$38)*(1-($D$38)*EXP(-$E$38*(E4)))-(I20)</f>
        <v>20.983775943989126</v>
      </c>
      <c r="G4" s="23">
        <v>400</v>
      </c>
      <c r="H4" s="27"/>
      <c r="I4" s="133"/>
      <c r="J4" s="134"/>
      <c r="K4" s="134"/>
      <c r="L4" s="135"/>
      <c r="M4" s="47"/>
    </row>
    <row r="5" spans="1:13" ht="20.25" customHeight="1">
      <c r="A5" s="47"/>
      <c r="B5" s="24" t="s">
        <v>42</v>
      </c>
      <c r="C5" s="25"/>
      <c r="D5" s="26"/>
      <c r="E5" s="27"/>
      <c r="F5" s="27"/>
      <c r="G5" s="28"/>
      <c r="H5" s="29"/>
      <c r="I5" s="29"/>
      <c r="J5" s="30"/>
      <c r="K5" s="29"/>
      <c r="L5" s="29"/>
      <c r="M5" s="47"/>
    </row>
    <row r="6" spans="1:13" ht="12">
      <c r="A6" s="47"/>
      <c r="B6" s="31" t="s">
        <v>33</v>
      </c>
      <c r="C6" s="32">
        <f>E4*1</f>
        <v>50</v>
      </c>
      <c r="D6" s="6">
        <f>J21*1</f>
        <v>55</v>
      </c>
      <c r="E6" s="6">
        <f>J22*1</f>
        <v>60</v>
      </c>
      <c r="F6" s="6">
        <f>J23*1</f>
        <v>65</v>
      </c>
      <c r="G6" s="6">
        <f>J24*1</f>
        <v>70</v>
      </c>
      <c r="H6" s="6">
        <f>J25*1</f>
        <v>75</v>
      </c>
      <c r="I6" s="6">
        <f>J26*1</f>
        <v>80</v>
      </c>
      <c r="J6" s="6">
        <f>J27*1</f>
        <v>85</v>
      </c>
      <c r="K6" s="6">
        <f>J28*1</f>
        <v>90</v>
      </c>
      <c r="L6" s="6">
        <f>J29*1</f>
        <v>95</v>
      </c>
      <c r="M6" s="47"/>
    </row>
    <row r="7" spans="1:13" ht="12">
      <c r="A7" s="47"/>
      <c r="B7" s="33" t="s">
        <v>32</v>
      </c>
      <c r="C7" s="34">
        <f>F4*1</f>
        <v>20.983775943989126</v>
      </c>
      <c r="D7" s="7">
        <f>K21*1</f>
        <v>21.568845254503294</v>
      </c>
      <c r="E7" s="7">
        <f>K22*1</f>
        <v>22.133522799113823</v>
      </c>
      <c r="F7" s="7">
        <f>K23*1</f>
        <v>22.590098653203732</v>
      </c>
      <c r="G7" s="7">
        <f>K24*1</f>
        <v>22.959267770211408</v>
      </c>
      <c r="H7" s="7">
        <f>K25*1</f>
        <v>23.257763268235244</v>
      </c>
      <c r="I7" s="7">
        <f>K26*1</f>
        <v>23.49911488253793</v>
      </c>
      <c r="J7" s="7">
        <f>K27*1</f>
        <v>23.6942622201432</v>
      </c>
      <c r="K7" s="7">
        <f>K28*1</f>
        <v>23.852050613166607</v>
      </c>
      <c r="L7" s="7">
        <f>K29*1</f>
        <v>23.979632046141468</v>
      </c>
      <c r="M7" s="47"/>
    </row>
    <row r="8" spans="1:13" ht="12">
      <c r="A8" s="47"/>
      <c r="B8" s="35" t="s">
        <v>31</v>
      </c>
      <c r="C8" s="36">
        <f>G4*1</f>
        <v>400</v>
      </c>
      <c r="D8" s="8">
        <f aca="true" t="shared" si="0" ref="D8:L8">C8*1</f>
        <v>400</v>
      </c>
      <c r="E8" s="8">
        <f t="shared" si="0"/>
        <v>400</v>
      </c>
      <c r="F8" s="8">
        <f t="shared" si="0"/>
        <v>400</v>
      </c>
      <c r="G8" s="8">
        <f t="shared" si="0"/>
        <v>400</v>
      </c>
      <c r="H8" s="8">
        <f t="shared" si="0"/>
        <v>400</v>
      </c>
      <c r="I8" s="8">
        <f t="shared" si="0"/>
        <v>400</v>
      </c>
      <c r="J8" s="8">
        <f t="shared" si="0"/>
        <v>400</v>
      </c>
      <c r="K8" s="8">
        <f t="shared" si="0"/>
        <v>400</v>
      </c>
      <c r="L8" s="8">
        <f t="shared" si="0"/>
        <v>400</v>
      </c>
      <c r="M8" s="47"/>
    </row>
    <row r="9" spans="1:13" ht="12">
      <c r="A9" s="47"/>
      <c r="B9" s="35" t="s">
        <v>34</v>
      </c>
      <c r="C9" s="37">
        <f aca="true" t="shared" si="1" ref="C9:L9">($G$32)+($G$33)*(C15)+($G$34)*SQRT(C8)*(C7)/100</f>
        <v>26.991463737859945</v>
      </c>
      <c r="D9" s="22">
        <f t="shared" si="1"/>
        <v>27.450224134483314</v>
      </c>
      <c r="E9" s="22">
        <f t="shared" si="1"/>
        <v>27.880258110662563</v>
      </c>
      <c r="F9" s="22">
        <f t="shared" si="1"/>
        <v>28.21911366769775</v>
      </c>
      <c r="G9" s="22">
        <f t="shared" si="1"/>
        <v>28.48747438789099</v>
      </c>
      <c r="H9" s="22">
        <f t="shared" si="1"/>
        <v>28.70086777431686</v>
      </c>
      <c r="I9" s="22">
        <f t="shared" si="1"/>
        <v>28.871104575694766</v>
      </c>
      <c r="J9" s="22">
        <f t="shared" si="1"/>
        <v>29.007267547375847</v>
      </c>
      <c r="K9" s="22">
        <f t="shared" si="1"/>
        <v>29.11640548061062</v>
      </c>
      <c r="L9" s="22">
        <f t="shared" si="1"/>
        <v>29.2040300210619</v>
      </c>
      <c r="M9" s="47"/>
    </row>
    <row r="10" spans="1:13" ht="12">
      <c r="A10" s="47"/>
      <c r="B10" s="38" t="s">
        <v>36</v>
      </c>
      <c r="C10" s="39">
        <f aca="true" t="shared" si="2" ref="C10:L10">($C$32*(C7)^($C$33)+($C$34)*(C7)^($C$35)/(C8))^(-1)</f>
        <v>249.90363858352052</v>
      </c>
      <c r="D10" s="9">
        <f t="shared" si="2"/>
        <v>265.2269047945037</v>
      </c>
      <c r="E10" s="9">
        <f t="shared" si="2"/>
        <v>280.3291422448919</v>
      </c>
      <c r="F10" s="9">
        <f t="shared" si="2"/>
        <v>292.75742001593477</v>
      </c>
      <c r="G10" s="9">
        <f t="shared" si="2"/>
        <v>302.9442488879882</v>
      </c>
      <c r="H10" s="9">
        <f t="shared" si="2"/>
        <v>311.26885842624944</v>
      </c>
      <c r="I10" s="9">
        <f t="shared" si="2"/>
        <v>318.0561871914332</v>
      </c>
      <c r="J10" s="9">
        <f t="shared" si="2"/>
        <v>323.5804323685368</v>
      </c>
      <c r="K10" s="9">
        <f t="shared" si="2"/>
        <v>328.0705353725206</v>
      </c>
      <c r="L10" s="9">
        <f t="shared" si="2"/>
        <v>331.7162067397744</v>
      </c>
      <c r="M10" s="120"/>
    </row>
    <row r="11" spans="1:13" ht="12">
      <c r="A11" s="47"/>
      <c r="B11" s="35" t="s">
        <v>30</v>
      </c>
      <c r="C11" s="46">
        <f aca="true" t="shared" si="3" ref="C11:L11">IF(C10/C17&gt;=0.99,"1以上",C10/C17)</f>
        <v>0.6289415713980399</v>
      </c>
      <c r="D11" s="45">
        <f t="shared" si="3"/>
        <v>0.6445170487230887</v>
      </c>
      <c r="E11" s="45">
        <f t="shared" si="3"/>
        <v>0.6591454865972586</v>
      </c>
      <c r="F11" s="45">
        <f t="shared" si="3"/>
        <v>0.6706868534448689</v>
      </c>
      <c r="G11" s="45">
        <f t="shared" si="3"/>
        <v>0.6798337161193991</v>
      </c>
      <c r="H11" s="45">
        <f t="shared" si="3"/>
        <v>0.6871098856531824</v>
      </c>
      <c r="I11" s="45">
        <f t="shared" si="3"/>
        <v>0.6929156537665414</v>
      </c>
      <c r="J11" s="45">
        <f t="shared" si="3"/>
        <v>0.6975597422764981</v>
      </c>
      <c r="K11" s="45">
        <f t="shared" si="3"/>
        <v>0.7012821557604355</v>
      </c>
      <c r="L11" s="45">
        <f t="shared" si="3"/>
        <v>0.7042707511876167</v>
      </c>
      <c r="M11" s="47"/>
    </row>
    <row r="12" spans="1:13" ht="12">
      <c r="A12" s="47"/>
      <c r="B12" s="38" t="s">
        <v>58</v>
      </c>
      <c r="C12" s="125">
        <f>+C7/C9*100</f>
        <v>77.74226751013857</v>
      </c>
      <c r="D12" s="125">
        <f aca="true" t="shared" si="4" ref="D12:L12">+D7/D9*100</f>
        <v>78.5743866747093</v>
      </c>
      <c r="E12" s="125">
        <f t="shared" si="4"/>
        <v>79.38779731256882</v>
      </c>
      <c r="F12" s="125">
        <f t="shared" si="4"/>
        <v>80.05247407562088</v>
      </c>
      <c r="G12" s="125">
        <f t="shared" si="4"/>
        <v>80.59425506660772</v>
      </c>
      <c r="H12" s="125">
        <f t="shared" si="4"/>
        <v>81.03505249777706</v>
      </c>
      <c r="I12" s="125">
        <f t="shared" si="4"/>
        <v>81.39319651219974</v>
      </c>
      <c r="J12" s="125">
        <f t="shared" si="4"/>
        <v>81.68388208728992</v>
      </c>
      <c r="K12" s="125">
        <f t="shared" si="4"/>
        <v>81.91962647673084</v>
      </c>
      <c r="L12" s="125">
        <f t="shared" si="4"/>
        <v>82.11069509532553</v>
      </c>
      <c r="M12" s="47"/>
    </row>
    <row r="13" spans="1:13" s="5" customFormat="1" ht="10.5">
      <c r="A13" s="87"/>
      <c r="B13" s="88" t="s">
        <v>2</v>
      </c>
      <c r="C13" s="89">
        <f aca="true" t="shared" si="5" ref="C13:L13">C10/C14</f>
        <v>23.97929130826223</v>
      </c>
      <c r="D13" s="89">
        <f t="shared" si="5"/>
        <v>24.796595263626276</v>
      </c>
      <c r="E13" s="89">
        <f t="shared" si="5"/>
        <v>25.57515810595106</v>
      </c>
      <c r="F13" s="89">
        <f t="shared" si="5"/>
        <v>26.197122847350357</v>
      </c>
      <c r="G13" s="89">
        <f t="shared" si="5"/>
        <v>26.69499744220586</v>
      </c>
      <c r="H13" s="89">
        <f t="shared" si="5"/>
        <v>27.09423923246856</v>
      </c>
      <c r="I13" s="89">
        <f t="shared" si="5"/>
        <v>27.414863527937527</v>
      </c>
      <c r="J13" s="89">
        <f t="shared" si="5"/>
        <v>27.672670606457995</v>
      </c>
      <c r="K13" s="89">
        <f t="shared" si="5"/>
        <v>27.88018034473791</v>
      </c>
      <c r="L13" s="89">
        <f t="shared" si="5"/>
        <v>28.0473465234482</v>
      </c>
      <c r="M13" s="84"/>
    </row>
    <row r="14" spans="1:13" s="5" customFormat="1" ht="10.5">
      <c r="A14" s="87"/>
      <c r="B14" s="88" t="s">
        <v>1</v>
      </c>
      <c r="C14" s="89">
        <f aca="true" t="shared" si="6" ref="C14:L14">($E$32)+($E$33)*(C7)+($E$34)*SQRT(C8)*(C7)/100</f>
        <v>10.421644049897942</v>
      </c>
      <c r="D14" s="89">
        <f t="shared" si="6"/>
        <v>10.696101701654209</v>
      </c>
      <c r="E14" s="89">
        <f t="shared" si="6"/>
        <v>10.960993518928133</v>
      </c>
      <c r="F14" s="89">
        <f t="shared" si="6"/>
        <v>11.175174530494099</v>
      </c>
      <c r="G14" s="89">
        <f t="shared" si="6"/>
        <v>11.348352796955927</v>
      </c>
      <c r="H14" s="89">
        <f t="shared" si="6"/>
        <v>11.488377870866303</v>
      </c>
      <c r="I14" s="89">
        <f t="shared" si="6"/>
        <v>11.601596588920215</v>
      </c>
      <c r="J14" s="89">
        <f t="shared" si="6"/>
        <v>11.69314075140339</v>
      </c>
      <c r="K14" s="89">
        <f t="shared" si="6"/>
        <v>11.767159728378173</v>
      </c>
      <c r="L14" s="89">
        <f t="shared" si="6"/>
        <v>11.827008535814691</v>
      </c>
      <c r="M14" s="84"/>
    </row>
    <row r="15" spans="1:13" s="5" customFormat="1" ht="10.5">
      <c r="A15" s="87"/>
      <c r="B15" s="88" t="s">
        <v>3</v>
      </c>
      <c r="C15" s="89">
        <f aca="true" t="shared" si="7" ref="C15:L15">200*SQRT(C13/3.14159/C8)</f>
        <v>27.627616499247864</v>
      </c>
      <c r="D15" s="89">
        <f t="shared" si="7"/>
        <v>28.094497829733704</v>
      </c>
      <c r="E15" s="89">
        <f t="shared" si="7"/>
        <v>28.532144227353147</v>
      </c>
      <c r="F15" s="89">
        <f t="shared" si="7"/>
        <v>28.87699817393518</v>
      </c>
      <c r="G15" s="89">
        <f t="shared" si="7"/>
        <v>29.15010939063164</v>
      </c>
      <c r="H15" s="89">
        <f t="shared" si="7"/>
        <v>29.367280246931994</v>
      </c>
      <c r="I15" s="89">
        <f t="shared" si="7"/>
        <v>29.540530564330737</v>
      </c>
      <c r="J15" s="89">
        <f t="shared" si="7"/>
        <v>29.679103880269253</v>
      </c>
      <c r="K15" s="89">
        <f t="shared" si="7"/>
        <v>29.790173763045026</v>
      </c>
      <c r="L15" s="89">
        <f t="shared" si="7"/>
        <v>29.87934942495965</v>
      </c>
      <c r="M15" s="84"/>
    </row>
    <row r="16" spans="1:13" s="5" customFormat="1" ht="10.5">
      <c r="A16" s="87"/>
      <c r="B16" s="88" t="s">
        <v>4</v>
      </c>
      <c r="C16" s="89">
        <f aca="true" t="shared" si="8" ref="C16:L16">10^(($I$32)+($I$34)*LOG(C7)/LOG(10))</f>
        <v>1501.4258661945296</v>
      </c>
      <c r="D16" s="89">
        <f t="shared" si="8"/>
        <v>1429.6927123764901</v>
      </c>
      <c r="E16" s="89">
        <f t="shared" si="8"/>
        <v>1365.408321825411</v>
      </c>
      <c r="F16" s="89">
        <f t="shared" si="8"/>
        <v>1316.6690045971286</v>
      </c>
      <c r="G16" s="89">
        <f t="shared" si="8"/>
        <v>1279.217183718698</v>
      </c>
      <c r="H16" s="89">
        <f t="shared" si="8"/>
        <v>1250.1369973927015</v>
      </c>
      <c r="I16" s="89">
        <f t="shared" si="8"/>
        <v>1227.3715396023772</v>
      </c>
      <c r="J16" s="89">
        <f t="shared" si="8"/>
        <v>1209.4340369326226</v>
      </c>
      <c r="K16" s="89">
        <f t="shared" si="8"/>
        <v>1195.2279755285085</v>
      </c>
      <c r="L16" s="89">
        <f t="shared" si="8"/>
        <v>1183.9311100116518</v>
      </c>
      <c r="M16" s="84"/>
    </row>
    <row r="17" spans="1:13" s="5" customFormat="1" ht="10.5">
      <c r="A17" s="87"/>
      <c r="B17" s="90" t="s">
        <v>5</v>
      </c>
      <c r="C17" s="91">
        <f aca="true" t="shared" si="9" ref="C17:L17">(($C$32)*(C7)^($C$33)+($C$34)*(C7)^($C$35)/(C16))^(-1)</f>
        <v>397.33999142086185</v>
      </c>
      <c r="D17" s="91">
        <f t="shared" si="9"/>
        <v>411.51262844011467</v>
      </c>
      <c r="E17" s="91">
        <f t="shared" si="9"/>
        <v>425.2917571992335</v>
      </c>
      <c r="F17" s="91">
        <f t="shared" si="9"/>
        <v>436.50388927744166</v>
      </c>
      <c r="G17" s="91">
        <f t="shared" si="9"/>
        <v>445.6152169345807</v>
      </c>
      <c r="H17" s="91">
        <f t="shared" si="9"/>
        <v>453.0117597279948</v>
      </c>
      <c r="I17" s="91">
        <f t="shared" si="9"/>
        <v>459.0114041478898</v>
      </c>
      <c r="J17" s="91">
        <f t="shared" si="9"/>
        <v>463.87486656343805</v>
      </c>
      <c r="K17" s="91">
        <f t="shared" si="9"/>
        <v>467.81531895215164</v>
      </c>
      <c r="L17" s="91">
        <f t="shared" si="9"/>
        <v>471.0066493325174</v>
      </c>
      <c r="M17" s="84"/>
    </row>
    <row r="18" spans="1:13" ht="12">
      <c r="A18" s="92"/>
      <c r="B18" s="93"/>
      <c r="C18" s="94"/>
      <c r="D18" s="94"/>
      <c r="E18" s="94"/>
      <c r="F18" s="94"/>
      <c r="G18" s="94"/>
      <c r="H18" s="94"/>
      <c r="I18" s="94"/>
      <c r="J18" s="94"/>
      <c r="K18" s="94"/>
      <c r="L18" s="94"/>
      <c r="M18" s="47"/>
    </row>
    <row r="19" spans="1:13" ht="12">
      <c r="A19" s="92"/>
      <c r="B19" s="92"/>
      <c r="C19" s="92"/>
      <c r="D19" s="94"/>
      <c r="E19" s="94"/>
      <c r="F19" s="94"/>
      <c r="G19" s="94"/>
      <c r="H19" s="94"/>
      <c r="I19" s="95" t="s">
        <v>61</v>
      </c>
      <c r="J19" s="96"/>
      <c r="K19" s="96"/>
      <c r="L19" s="94"/>
      <c r="M19" s="47"/>
    </row>
    <row r="20" spans="1:13" ht="12">
      <c r="A20" s="92"/>
      <c r="B20" s="97"/>
      <c r="C20" s="98"/>
      <c r="D20" s="94"/>
      <c r="E20" s="94"/>
      <c r="F20" s="94"/>
      <c r="G20" s="94"/>
      <c r="H20" s="94"/>
      <c r="I20" s="99">
        <f>1.1888*LN($E$4/5)-0.6133</f>
        <v>2.124013158551322</v>
      </c>
      <c r="J20" s="96"/>
      <c r="K20" s="96"/>
      <c r="L20" s="94"/>
      <c r="M20" s="47"/>
    </row>
    <row r="21" spans="1:13" ht="12">
      <c r="A21" s="92"/>
      <c r="B21" s="97"/>
      <c r="C21" s="98"/>
      <c r="D21" s="94"/>
      <c r="E21" s="94"/>
      <c r="F21" s="94"/>
      <c r="G21" s="94"/>
      <c r="H21" s="94"/>
      <c r="I21" s="99">
        <f>1.1888*LN(J21/5)-0.6133</f>
        <v>2.2373179003027035</v>
      </c>
      <c r="J21" s="100">
        <f>E4+5</f>
        <v>55</v>
      </c>
      <c r="K21" s="101">
        <f>($C$38)*(1-($D$38)*EXP(-$E$38*(J21)))-($I$21)</f>
        <v>21.568845254503294</v>
      </c>
      <c r="L21" s="94"/>
      <c r="M21" s="47"/>
    </row>
    <row r="22" spans="1:13" ht="12">
      <c r="A22" s="92"/>
      <c r="B22" s="97"/>
      <c r="C22" s="98"/>
      <c r="D22" s="94"/>
      <c r="E22" s="94"/>
      <c r="F22" s="94"/>
      <c r="G22" s="94"/>
      <c r="H22" s="94"/>
      <c r="I22" s="99">
        <f aca="true" t="shared" si="10" ref="I22:I29">1.1888*LN(J22/5)-0.6133</f>
        <v>2.3407570252679752</v>
      </c>
      <c r="J22" s="100">
        <f aca="true" t="shared" si="11" ref="J22:J29">J21+5</f>
        <v>60</v>
      </c>
      <c r="K22" s="101">
        <f aca="true" t="shared" si="12" ref="K22:K29">($C$38)*(1-($D$38)*EXP(-$E$38*(J22)))-($I$21)</f>
        <v>22.133522799113823</v>
      </c>
      <c r="L22" s="94"/>
      <c r="M22" s="47"/>
    </row>
    <row r="23" spans="1:13" ht="12">
      <c r="A23" s="92"/>
      <c r="B23" s="97"/>
      <c r="C23" s="98"/>
      <c r="D23" s="94"/>
      <c r="E23" s="94"/>
      <c r="F23" s="94"/>
      <c r="G23" s="94"/>
      <c r="H23" s="94"/>
      <c r="I23" s="99">
        <f t="shared" si="10"/>
        <v>2.4359117961502754</v>
      </c>
      <c r="J23" s="100">
        <f t="shared" si="11"/>
        <v>65</v>
      </c>
      <c r="K23" s="101">
        <f t="shared" si="12"/>
        <v>22.590098653203732</v>
      </c>
      <c r="L23" s="94"/>
      <c r="M23" s="47"/>
    </row>
    <row r="24" spans="1:13" ht="12">
      <c r="A24" s="92"/>
      <c r="B24" s="97"/>
      <c r="C24" s="98"/>
      <c r="D24" s="102"/>
      <c r="E24" s="102"/>
      <c r="F24" s="92"/>
      <c r="G24" s="92"/>
      <c r="H24" s="102"/>
      <c r="I24" s="99">
        <f t="shared" si="10"/>
        <v>2.5240113534466193</v>
      </c>
      <c r="J24" s="100">
        <f t="shared" si="11"/>
        <v>70</v>
      </c>
      <c r="K24" s="101">
        <f t="shared" si="12"/>
        <v>22.959267770211408</v>
      </c>
      <c r="L24" s="102"/>
      <c r="M24" s="47"/>
    </row>
    <row r="25" spans="1:13" ht="12">
      <c r="A25" s="103"/>
      <c r="B25" s="98"/>
      <c r="C25" s="98"/>
      <c r="D25" s="103"/>
      <c r="E25" s="103"/>
      <c r="F25" s="103"/>
      <c r="G25" s="103"/>
      <c r="H25" s="94"/>
      <c r="I25" s="99">
        <f t="shared" si="10"/>
        <v>2.6060300790703073</v>
      </c>
      <c r="J25" s="100">
        <f t="shared" si="11"/>
        <v>75</v>
      </c>
      <c r="K25" s="101">
        <f t="shared" si="12"/>
        <v>23.257763268235244</v>
      </c>
      <c r="L25" s="103"/>
      <c r="M25" s="47"/>
    </row>
    <row r="26" spans="1:13" ht="12">
      <c r="A26" s="103"/>
      <c r="B26" s="98"/>
      <c r="C26" s="98"/>
      <c r="D26" s="103"/>
      <c r="E26" s="103"/>
      <c r="F26" s="103"/>
      <c r="G26" s="103"/>
      <c r="H26" s="94"/>
      <c r="I26" s="99">
        <f t="shared" si="10"/>
        <v>2.6827534729986517</v>
      </c>
      <c r="J26" s="100">
        <f t="shared" si="11"/>
        <v>80</v>
      </c>
      <c r="K26" s="101">
        <f t="shared" si="12"/>
        <v>23.49911488253793</v>
      </c>
      <c r="L26" s="103"/>
      <c r="M26" s="47"/>
    </row>
    <row r="27" spans="1:13" ht="12">
      <c r="A27" s="103"/>
      <c r="B27" s="98"/>
      <c r="C27" s="98"/>
      <c r="D27" s="103"/>
      <c r="E27" s="103"/>
      <c r="F27" s="103"/>
      <c r="G27" s="103"/>
      <c r="H27" s="94"/>
      <c r="I27" s="99">
        <f t="shared" si="10"/>
        <v>2.75482402341403</v>
      </c>
      <c r="J27" s="100">
        <f t="shared" si="11"/>
        <v>85</v>
      </c>
      <c r="K27" s="101">
        <f t="shared" si="12"/>
        <v>23.6942622201432</v>
      </c>
      <c r="L27" s="103"/>
      <c r="M27" s="47"/>
    </row>
    <row r="28" spans="1:13" ht="12">
      <c r="A28" s="103"/>
      <c r="B28" s="98"/>
      <c r="C28" s="98"/>
      <c r="D28" s="103"/>
      <c r="E28" s="103"/>
      <c r="F28" s="103"/>
      <c r="G28" s="103"/>
      <c r="H28" s="94"/>
      <c r="I28" s="99">
        <f t="shared" si="10"/>
        <v>2.8227739457869605</v>
      </c>
      <c r="J28" s="100">
        <f t="shared" si="11"/>
        <v>90</v>
      </c>
      <c r="K28" s="101">
        <f t="shared" si="12"/>
        <v>23.852050613166607</v>
      </c>
      <c r="L28" s="103"/>
      <c r="M28" s="47"/>
    </row>
    <row r="29" spans="1:13" ht="12">
      <c r="A29" s="103"/>
      <c r="B29" s="98"/>
      <c r="C29" s="98"/>
      <c r="D29" s="103"/>
      <c r="E29" s="103"/>
      <c r="F29" s="103"/>
      <c r="G29" s="103"/>
      <c r="H29" s="94"/>
      <c r="I29" s="99">
        <f t="shared" si="10"/>
        <v>2.887049058433065</v>
      </c>
      <c r="J29" s="100">
        <f t="shared" si="11"/>
        <v>95</v>
      </c>
      <c r="K29" s="101">
        <f t="shared" si="12"/>
        <v>23.979632046141468</v>
      </c>
      <c r="L29" s="103"/>
      <c r="M29" s="47"/>
    </row>
    <row r="30" spans="1:13" ht="12">
      <c r="A30" s="103"/>
      <c r="B30" s="98"/>
      <c r="C30" s="98"/>
      <c r="D30" s="103"/>
      <c r="E30" s="103"/>
      <c r="F30" s="103"/>
      <c r="G30" s="103"/>
      <c r="H30" s="94"/>
      <c r="I30" s="103"/>
      <c r="J30" s="103"/>
      <c r="K30" s="103"/>
      <c r="L30" s="103"/>
      <c r="M30" s="47"/>
    </row>
    <row r="31" spans="1:13" s="4" customFormat="1" ht="10.5">
      <c r="A31" s="115"/>
      <c r="B31" s="116" t="s">
        <v>6</v>
      </c>
      <c r="C31" s="115"/>
      <c r="D31" s="116" t="s">
        <v>7</v>
      </c>
      <c r="E31" s="115"/>
      <c r="F31" s="117" t="s">
        <v>8</v>
      </c>
      <c r="G31" s="115"/>
      <c r="H31" s="116" t="s">
        <v>9</v>
      </c>
      <c r="I31" s="115"/>
      <c r="J31" s="115"/>
      <c r="K31" s="87"/>
      <c r="L31" s="87"/>
      <c r="M31" s="85"/>
    </row>
    <row r="32" spans="1:13" s="4" customFormat="1" ht="10.5">
      <c r="A32" s="106"/>
      <c r="B32" s="98" t="s">
        <v>10</v>
      </c>
      <c r="C32" s="108">
        <f>+'地位級Ⅲ'!C32</f>
        <v>0.095669</v>
      </c>
      <c r="D32" s="98" t="s">
        <v>11</v>
      </c>
      <c r="E32" s="108">
        <f>+'地位級Ⅲ'!E32</f>
        <v>0.578096</v>
      </c>
      <c r="F32" s="98" t="s">
        <v>12</v>
      </c>
      <c r="G32" s="109">
        <f>+'地位級Ⅲ'!G32</f>
        <v>-0.155598</v>
      </c>
      <c r="H32" s="98" t="s">
        <v>13</v>
      </c>
      <c r="I32" s="108">
        <f>+'地位級Ⅲ'!I32</f>
        <v>5.5297</v>
      </c>
      <c r="J32" s="106"/>
      <c r="K32" s="87"/>
      <c r="L32" s="87"/>
      <c r="M32" s="85"/>
    </row>
    <row r="33" spans="1:13" s="4" customFormat="1" ht="10.5">
      <c r="A33" s="106"/>
      <c r="B33" s="98" t="s">
        <v>14</v>
      </c>
      <c r="C33" s="108">
        <f>+'地位級Ⅲ'!C33</f>
        <v>-1.274434</v>
      </c>
      <c r="D33" s="98" t="s">
        <v>15</v>
      </c>
      <c r="E33" s="108">
        <f>+'地位級Ⅲ'!E33</f>
        <v>0.460651</v>
      </c>
      <c r="F33" s="98" t="s">
        <v>16</v>
      </c>
      <c r="G33" s="109">
        <f>+'地位級Ⅲ'!G33</f>
        <v>0.982606</v>
      </c>
      <c r="H33" s="98" t="s">
        <v>17</v>
      </c>
      <c r="I33" s="106"/>
      <c r="J33" s="106"/>
      <c r="K33" s="87"/>
      <c r="L33" s="87"/>
      <c r="M33" s="85"/>
    </row>
    <row r="34" spans="1:13" s="4" customFormat="1" ht="10.5">
      <c r="A34" s="106"/>
      <c r="B34" s="98" t="s">
        <v>18</v>
      </c>
      <c r="C34" s="108">
        <f>+'地位級Ⅲ'!C34</f>
        <v>8833.4</v>
      </c>
      <c r="D34" s="98" t="s">
        <v>19</v>
      </c>
      <c r="E34" s="108">
        <f>+'地位級Ⅲ'!E34</f>
        <v>0.042259</v>
      </c>
      <c r="F34" s="98" t="s">
        <v>20</v>
      </c>
      <c r="G34" s="109">
        <f>+'地位級Ⅲ'!G34</f>
        <v>0</v>
      </c>
      <c r="H34" s="98" t="s">
        <v>21</v>
      </c>
      <c r="I34" s="108">
        <f>C35-(C33)</f>
        <v>-1.780184</v>
      </c>
      <c r="J34" s="106"/>
      <c r="K34" s="87"/>
      <c r="L34" s="87"/>
      <c r="M34" s="85"/>
    </row>
    <row r="35" spans="1:13" s="4" customFormat="1" ht="10.5">
      <c r="A35" s="106"/>
      <c r="B35" s="98" t="s">
        <v>22</v>
      </c>
      <c r="C35" s="108">
        <f>+'地位級Ⅲ'!C35</f>
        <v>-3.054618</v>
      </c>
      <c r="D35" s="106"/>
      <c r="E35" s="106"/>
      <c r="F35" s="106"/>
      <c r="G35" s="106"/>
      <c r="H35" s="106"/>
      <c r="I35" s="106"/>
      <c r="J35" s="106"/>
      <c r="K35" s="87"/>
      <c r="L35" s="87"/>
      <c r="M35" s="85"/>
    </row>
    <row r="36" spans="1:13" s="4" customFormat="1" ht="10.5">
      <c r="A36" s="106"/>
      <c r="B36" s="98" t="s">
        <v>62</v>
      </c>
      <c r="C36" s="106"/>
      <c r="D36" s="106"/>
      <c r="E36" s="106"/>
      <c r="F36" s="110" t="s">
        <v>26</v>
      </c>
      <c r="G36" s="106"/>
      <c r="H36" s="111"/>
      <c r="I36" s="118"/>
      <c r="J36" s="118"/>
      <c r="K36" s="87"/>
      <c r="L36" s="87"/>
      <c r="M36" s="85"/>
    </row>
    <row r="37" spans="1:13" s="4" customFormat="1" ht="10.5">
      <c r="A37" s="106"/>
      <c r="B37" s="98" t="s">
        <v>0</v>
      </c>
      <c r="C37" s="88" t="s">
        <v>23</v>
      </c>
      <c r="D37" s="88" t="s">
        <v>24</v>
      </c>
      <c r="E37" s="88" t="s">
        <v>25</v>
      </c>
      <c r="F37" s="106"/>
      <c r="G37" s="106"/>
      <c r="H37" s="111"/>
      <c r="I37" s="118"/>
      <c r="J37" s="118"/>
      <c r="K37" s="87"/>
      <c r="L37" s="87"/>
      <c r="M37" s="85"/>
    </row>
    <row r="38" spans="1:13" s="4" customFormat="1" ht="10.5">
      <c r="A38" s="112"/>
      <c r="B38" s="90" t="str">
        <f>+D4</f>
        <v>Ⅳ</v>
      </c>
      <c r="C38" s="112">
        <f>+'地位級Ⅲ'!C38</f>
        <v>26.7558</v>
      </c>
      <c r="D38" s="112">
        <f>+'地位級Ⅲ'!D38</f>
        <v>1.1416</v>
      </c>
      <c r="E38" s="112">
        <f>+'地位級Ⅲ'!E38</f>
        <v>0.0425</v>
      </c>
      <c r="F38" s="112"/>
      <c r="G38" s="112"/>
      <c r="H38" s="113"/>
      <c r="I38" s="119"/>
      <c r="J38" s="119"/>
      <c r="K38" s="112"/>
      <c r="L38" s="112"/>
      <c r="M38" s="85"/>
    </row>
    <row r="39" spans="1:12" ht="12">
      <c r="A39" s="3"/>
      <c r="B39" s="3"/>
      <c r="C39" s="3"/>
      <c r="D39" s="3"/>
      <c r="E39" s="3"/>
      <c r="F39" s="3"/>
      <c r="G39" s="3"/>
      <c r="H39" s="3"/>
      <c r="I39" s="3"/>
      <c r="J39" s="3"/>
      <c r="K39" s="3"/>
      <c r="L39" s="3"/>
    </row>
    <row r="40" s="1" customFormat="1" ht="12"/>
  </sheetData>
  <sheetProtection password="D7CD" sheet="1" objects="1" scenarios="1" selectLockedCells="1"/>
  <mergeCells count="3">
    <mergeCell ref="D1:H1"/>
    <mergeCell ref="D2:G2"/>
    <mergeCell ref="I2:L4"/>
  </mergeCells>
  <printOptions/>
  <pageMargins left="0.75" right="0.75" top="1" bottom="1" header="0.512" footer="0.512"/>
  <pageSetup horizontalDpi="600" verticalDpi="600" orientation="portrait" paperSize="9" scale="95" r:id="rId2"/>
  <drawing r:id="rId1"/>
</worksheet>
</file>

<file path=xl/worksheets/sheet6.xml><?xml version="1.0" encoding="utf-8"?>
<worksheet xmlns="http://schemas.openxmlformats.org/spreadsheetml/2006/main" xmlns:r="http://schemas.openxmlformats.org/officeDocument/2006/relationships">
  <dimension ref="A1:M39"/>
  <sheetViews>
    <sheetView workbookViewId="0" topLeftCell="A10">
      <selection activeCell="E4" sqref="E4"/>
    </sheetView>
  </sheetViews>
  <sheetFormatPr defaultColWidth="8.66015625" defaultRowHeight="18"/>
  <cols>
    <col min="1" max="1" width="2.16015625" style="2" customWidth="1"/>
    <col min="2" max="2" width="10.91015625" style="2" customWidth="1"/>
    <col min="3" max="3" width="6.66015625" style="2" customWidth="1"/>
    <col min="4" max="4" width="5.58203125" style="2" customWidth="1"/>
    <col min="5" max="5" width="5.91015625" style="2" customWidth="1"/>
    <col min="6" max="6" width="6.33203125" style="2" customWidth="1"/>
    <col min="7" max="12" width="5.66015625" style="2" customWidth="1"/>
    <col min="13" max="13" width="3" style="2" customWidth="1"/>
    <col min="14" max="16384" width="8.66015625" style="2" customWidth="1"/>
  </cols>
  <sheetData>
    <row r="1" spans="1:13" ht="12" customHeight="1" thickBot="1">
      <c r="A1" s="47"/>
      <c r="B1" s="47"/>
      <c r="C1" s="140"/>
      <c r="D1" s="140"/>
      <c r="E1" s="140"/>
      <c r="F1" s="140"/>
      <c r="G1" s="140"/>
      <c r="H1" s="140"/>
      <c r="I1" s="140"/>
      <c r="J1" s="47"/>
      <c r="K1" s="47"/>
      <c r="L1" s="47"/>
      <c r="M1" s="47"/>
    </row>
    <row r="2" spans="1:13" ht="14.25" customHeight="1">
      <c r="A2" s="48"/>
      <c r="B2" s="44" t="s">
        <v>44</v>
      </c>
      <c r="C2" s="27"/>
      <c r="D2" s="136" t="s">
        <v>37</v>
      </c>
      <c r="E2" s="136"/>
      <c r="F2" s="136"/>
      <c r="G2" s="136"/>
      <c r="H2" s="43"/>
      <c r="I2" s="127" t="s">
        <v>43</v>
      </c>
      <c r="J2" s="128"/>
      <c r="K2" s="128"/>
      <c r="L2" s="129"/>
      <c r="M2" s="47"/>
    </row>
    <row r="3" spans="1:13" ht="12">
      <c r="A3" s="48"/>
      <c r="B3" s="27"/>
      <c r="C3" s="27"/>
      <c r="D3" s="41" t="s">
        <v>29</v>
      </c>
      <c r="E3" s="41" t="s">
        <v>39</v>
      </c>
      <c r="F3" s="41" t="s">
        <v>40</v>
      </c>
      <c r="G3" s="41" t="s">
        <v>38</v>
      </c>
      <c r="H3" s="27"/>
      <c r="I3" s="130"/>
      <c r="J3" s="131"/>
      <c r="K3" s="131"/>
      <c r="L3" s="132"/>
      <c r="M3" s="47"/>
    </row>
    <row r="4" spans="1:13" ht="12.75" thickBot="1">
      <c r="A4" s="48"/>
      <c r="B4" s="27"/>
      <c r="C4" s="27"/>
      <c r="D4" s="78" t="s">
        <v>35</v>
      </c>
      <c r="E4" s="23">
        <v>50</v>
      </c>
      <c r="F4" s="86">
        <f>($C$38)*(1-($D$38)*EXP(-$E$38*(E4)))-(1.96*I20)</f>
        <v>18.944723311779857</v>
      </c>
      <c r="G4" s="23">
        <v>600</v>
      </c>
      <c r="H4" s="27"/>
      <c r="I4" s="133"/>
      <c r="J4" s="134"/>
      <c r="K4" s="134"/>
      <c r="L4" s="135"/>
      <c r="M4" s="47"/>
    </row>
    <row r="5" spans="1:13" ht="30" customHeight="1">
      <c r="A5" s="47"/>
      <c r="B5" s="24" t="s">
        <v>42</v>
      </c>
      <c r="C5" s="25"/>
      <c r="D5" s="27"/>
      <c r="E5" s="27"/>
      <c r="F5" s="27"/>
      <c r="G5" s="27"/>
      <c r="H5" s="29"/>
      <c r="I5" s="29"/>
      <c r="J5" s="30"/>
      <c r="K5" s="29"/>
      <c r="L5" s="29"/>
      <c r="M5" s="47"/>
    </row>
    <row r="6" spans="1:13" ht="12">
      <c r="A6" s="47"/>
      <c r="B6" s="31" t="s">
        <v>33</v>
      </c>
      <c r="C6" s="32">
        <f>E4*1</f>
        <v>50</v>
      </c>
      <c r="D6" s="6">
        <f>J21*1</f>
        <v>55</v>
      </c>
      <c r="E6" s="6">
        <f>J22*1</f>
        <v>60</v>
      </c>
      <c r="F6" s="6">
        <f>J23*1</f>
        <v>65</v>
      </c>
      <c r="G6" s="6">
        <f>J24*1</f>
        <v>70</v>
      </c>
      <c r="H6" s="6">
        <f>J25*1</f>
        <v>75</v>
      </c>
      <c r="I6" s="6">
        <f>J26*1</f>
        <v>80</v>
      </c>
      <c r="J6" s="6">
        <f>J27*1</f>
        <v>85</v>
      </c>
      <c r="K6" s="6">
        <f>J28*1</f>
        <v>90</v>
      </c>
      <c r="L6" s="6">
        <f>J29*1</f>
        <v>95</v>
      </c>
      <c r="M6" s="47"/>
    </row>
    <row r="7" spans="1:13" ht="12">
      <c r="A7" s="47"/>
      <c r="B7" s="33" t="s">
        <v>32</v>
      </c>
      <c r="C7" s="34">
        <f>F4*1</f>
        <v>18.944723311779857</v>
      </c>
      <c r="D7" s="7">
        <f>K21*1</f>
        <v>19.4210200702127</v>
      </c>
      <c r="E7" s="7">
        <f>K22*1</f>
        <v>19.985697614823227</v>
      </c>
      <c r="F7" s="7">
        <f>K23*1</f>
        <v>20.442273468913136</v>
      </c>
      <c r="G7" s="7">
        <f>K24*1</f>
        <v>20.811442585920812</v>
      </c>
      <c r="H7" s="7">
        <f>K25*1</f>
        <v>21.109938083944648</v>
      </c>
      <c r="I7" s="7">
        <f>K26*1</f>
        <v>21.351289698247335</v>
      </c>
      <c r="J7" s="7">
        <f>K27*1</f>
        <v>21.546437035852605</v>
      </c>
      <c r="K7" s="7">
        <f>K28*1</f>
        <v>21.70422542887601</v>
      </c>
      <c r="L7" s="7">
        <f>K29*1</f>
        <v>21.831806861850872</v>
      </c>
      <c r="M7" s="47"/>
    </row>
    <row r="8" spans="1:13" ht="12">
      <c r="A8" s="47"/>
      <c r="B8" s="35" t="s">
        <v>31</v>
      </c>
      <c r="C8" s="36">
        <f>G4*1</f>
        <v>600</v>
      </c>
      <c r="D8" s="8">
        <f aca="true" t="shared" si="0" ref="D8:L8">C8*1</f>
        <v>600</v>
      </c>
      <c r="E8" s="8">
        <f t="shared" si="0"/>
        <v>600</v>
      </c>
      <c r="F8" s="8">
        <f t="shared" si="0"/>
        <v>600</v>
      </c>
      <c r="G8" s="8">
        <f t="shared" si="0"/>
        <v>600</v>
      </c>
      <c r="H8" s="8">
        <f t="shared" si="0"/>
        <v>600</v>
      </c>
      <c r="I8" s="8">
        <f t="shared" si="0"/>
        <v>600</v>
      </c>
      <c r="J8" s="8">
        <f t="shared" si="0"/>
        <v>600</v>
      </c>
      <c r="K8" s="8">
        <f t="shared" si="0"/>
        <v>600</v>
      </c>
      <c r="L8" s="8">
        <f t="shared" si="0"/>
        <v>600</v>
      </c>
      <c r="M8" s="47"/>
    </row>
    <row r="9" spans="1:13" ht="12">
      <c r="A9" s="47"/>
      <c r="B9" s="35" t="s">
        <v>34</v>
      </c>
      <c r="C9" s="37">
        <f aca="true" t="shared" si="1" ref="C9:L9">($G$32)+($G$33)*(C15)+($G$34)*SQRT(C8)*(C7)/100</f>
        <v>22.78801892217861</v>
      </c>
      <c r="D9" s="22">
        <f t="shared" si="1"/>
        <v>23.111051061527306</v>
      </c>
      <c r="E9" s="22">
        <f t="shared" si="1"/>
        <v>23.48199666518073</v>
      </c>
      <c r="F9" s="22">
        <f t="shared" si="1"/>
        <v>23.77275723965592</v>
      </c>
      <c r="G9" s="22">
        <f t="shared" si="1"/>
        <v>24.002075740520954</v>
      </c>
      <c r="H9" s="22">
        <f t="shared" si="1"/>
        <v>24.18382661933418</v>
      </c>
      <c r="I9" s="22">
        <f t="shared" si="1"/>
        <v>24.328443065604628</v>
      </c>
      <c r="J9" s="22">
        <f t="shared" si="1"/>
        <v>24.443873917556232</v>
      </c>
      <c r="K9" s="22">
        <f t="shared" si="1"/>
        <v>24.536241279604802</v>
      </c>
      <c r="L9" s="22">
        <f t="shared" si="1"/>
        <v>24.610302702266363</v>
      </c>
      <c r="M9" s="47"/>
    </row>
    <row r="10" spans="1:13" ht="12">
      <c r="A10" s="47"/>
      <c r="B10" s="38" t="s">
        <v>36</v>
      </c>
      <c r="C10" s="39">
        <f aca="true" t="shared" si="2" ref="C10:L10">($C$32*(C7)^($C$33)+($C$34)*(C7)^($C$35)/(C8))^(-1)</f>
        <v>244.1067505503877</v>
      </c>
      <c r="D10" s="9">
        <f t="shared" si="2"/>
        <v>256.95609754277336</v>
      </c>
      <c r="E10" s="9">
        <f t="shared" si="2"/>
        <v>272.46774013625384</v>
      </c>
      <c r="F10" s="9">
        <f t="shared" si="2"/>
        <v>285.22166483763635</v>
      </c>
      <c r="G10" s="9">
        <f t="shared" si="2"/>
        <v>295.6674141726109</v>
      </c>
      <c r="H10" s="9">
        <f t="shared" si="2"/>
        <v>304.19809911292333</v>
      </c>
      <c r="I10" s="9">
        <f t="shared" si="2"/>
        <v>311.1497115020572</v>
      </c>
      <c r="J10" s="9">
        <f t="shared" si="2"/>
        <v>316.8051626366921</v>
      </c>
      <c r="K10" s="9">
        <f t="shared" si="2"/>
        <v>321.4002416724972</v>
      </c>
      <c r="L10" s="9">
        <f t="shared" si="2"/>
        <v>325.1300414942056</v>
      </c>
      <c r="M10" s="47"/>
    </row>
    <row r="11" spans="1:13" ht="12">
      <c r="A11" s="47"/>
      <c r="B11" s="35" t="s">
        <v>30</v>
      </c>
      <c r="C11" s="46">
        <f aca="true" t="shared" si="3" ref="C11:L11">IF(C10/C17&gt;=0.99,"1以上",C10/C17)</f>
        <v>0.6998363319816975</v>
      </c>
      <c r="D11" s="45">
        <f t="shared" si="3"/>
        <v>0.7137274826120329</v>
      </c>
      <c r="E11" s="45">
        <f t="shared" si="3"/>
        <v>0.7296680850172734</v>
      </c>
      <c r="F11" s="45">
        <f t="shared" si="3"/>
        <v>0.7421483482867802</v>
      </c>
      <c r="G11" s="45">
        <f t="shared" si="3"/>
        <v>0.7519786549852671</v>
      </c>
      <c r="H11" s="45">
        <f t="shared" si="3"/>
        <v>0.7597600602231712</v>
      </c>
      <c r="I11" s="45">
        <f t="shared" si="3"/>
        <v>0.7659444783062476</v>
      </c>
      <c r="J11" s="45">
        <f t="shared" si="3"/>
        <v>0.7708757796455725</v>
      </c>
      <c r="K11" s="45">
        <f t="shared" si="3"/>
        <v>0.7748183341051975</v>
      </c>
      <c r="L11" s="45">
        <f t="shared" si="3"/>
        <v>0.7779771808372241</v>
      </c>
      <c r="M11" s="47"/>
    </row>
    <row r="12" spans="1:13" ht="12">
      <c r="A12" s="47"/>
      <c r="B12" s="38" t="s">
        <v>58</v>
      </c>
      <c r="C12" s="125">
        <f>+C7/C9*100</f>
        <v>83.13457776420294</v>
      </c>
      <c r="D12" s="125">
        <f aca="true" t="shared" si="4" ref="D12:L12">+D7/D9*100</f>
        <v>84.03347826331725</v>
      </c>
      <c r="E12" s="125">
        <f t="shared" si="4"/>
        <v>85.11072503667526</v>
      </c>
      <c r="F12" s="125">
        <f t="shared" si="4"/>
        <v>85.99033449436348</v>
      </c>
      <c r="G12" s="125">
        <f t="shared" si="4"/>
        <v>86.7068449033613</v>
      </c>
      <c r="H12" s="125">
        <f t="shared" si="4"/>
        <v>87.28948654911353</v>
      </c>
      <c r="I12" s="125">
        <f t="shared" si="4"/>
        <v>87.76266381153519</v>
      </c>
      <c r="J12" s="125">
        <f t="shared" si="4"/>
        <v>88.14657246442998</v>
      </c>
      <c r="K12" s="125">
        <f t="shared" si="4"/>
        <v>88.45782522898958</v>
      </c>
      <c r="L12" s="125">
        <f t="shared" si="4"/>
        <v>88.71002980325139</v>
      </c>
      <c r="M12" s="47"/>
    </row>
    <row r="13" spans="1:13" s="5" customFormat="1" ht="10.5">
      <c r="A13" s="87"/>
      <c r="B13" s="88" t="s">
        <v>2</v>
      </c>
      <c r="C13" s="121">
        <f aca="true" t="shared" si="5" ref="C13:L13">C10/C14</f>
        <v>25.692461074880722</v>
      </c>
      <c r="D13" s="121">
        <f t="shared" si="5"/>
        <v>26.42102245027481</v>
      </c>
      <c r="E13" s="121">
        <f t="shared" si="5"/>
        <v>27.270211348267658</v>
      </c>
      <c r="F13" s="121">
        <f t="shared" si="5"/>
        <v>27.945226674978528</v>
      </c>
      <c r="G13" s="121">
        <f t="shared" si="5"/>
        <v>28.483422035116355</v>
      </c>
      <c r="H13" s="121">
        <f t="shared" si="5"/>
        <v>28.913625809155505</v>
      </c>
      <c r="I13" s="121">
        <f t="shared" si="5"/>
        <v>29.25823609089755</v>
      </c>
      <c r="J13" s="121">
        <f t="shared" si="5"/>
        <v>29.534764325369743</v>
      </c>
      <c r="K13" s="121">
        <f t="shared" si="5"/>
        <v>29.756978036833086</v>
      </c>
      <c r="L13" s="121">
        <f t="shared" si="5"/>
        <v>29.935753642788523</v>
      </c>
      <c r="M13" s="87"/>
    </row>
    <row r="14" spans="1:13" s="5" customFormat="1" ht="10.5">
      <c r="A14" s="87"/>
      <c r="B14" s="88" t="s">
        <v>1</v>
      </c>
      <c r="C14" s="121">
        <f aca="true" t="shared" si="6" ref="C14:L14">($E$32)+($E$33)*(C7)+($E$34)*SQRT(C8)*(C7)/100</f>
        <v>9.501104228160088</v>
      </c>
      <c r="D14" s="121">
        <f t="shared" si="6"/>
        <v>9.725441096247232</v>
      </c>
      <c r="E14" s="121">
        <f t="shared" si="6"/>
        <v>9.991405517785338</v>
      </c>
      <c r="F14" s="121">
        <f t="shared" si="6"/>
        <v>10.20645379459444</v>
      </c>
      <c r="G14" s="121">
        <f t="shared" si="6"/>
        <v>10.380333297315591</v>
      </c>
      <c r="H14" s="121">
        <f t="shared" si="6"/>
        <v>10.520925363037621</v>
      </c>
      <c r="I14" s="121">
        <f t="shared" si="6"/>
        <v>10.634602528170115</v>
      </c>
      <c r="J14" s="121">
        <f t="shared" si="6"/>
        <v>10.72651737276817</v>
      </c>
      <c r="K14" s="121">
        <f t="shared" si="6"/>
        <v>10.800836068591007</v>
      </c>
      <c r="L14" s="121">
        <f t="shared" si="6"/>
        <v>10.86092721679412</v>
      </c>
      <c r="M14" s="87"/>
    </row>
    <row r="15" spans="1:13" s="5" customFormat="1" ht="10.5">
      <c r="A15" s="87"/>
      <c r="B15" s="88" t="s">
        <v>3</v>
      </c>
      <c r="C15" s="121">
        <f aca="true" t="shared" si="7" ref="C15:L15">200*SQRT(C13/3.14159/C8)</f>
        <v>23.349762694486508</v>
      </c>
      <c r="D15" s="121">
        <f t="shared" si="7"/>
        <v>23.67851311871422</v>
      </c>
      <c r="E15" s="121">
        <f t="shared" si="7"/>
        <v>24.05602516693439</v>
      </c>
      <c r="F15" s="121">
        <f t="shared" si="7"/>
        <v>24.351932758049433</v>
      </c>
      <c r="G15" s="121">
        <f t="shared" si="7"/>
        <v>24.585310633683243</v>
      </c>
      <c r="H15" s="121">
        <f t="shared" si="7"/>
        <v>24.770278849644907</v>
      </c>
      <c r="I15" s="121">
        <f t="shared" si="7"/>
        <v>24.91745528279354</v>
      </c>
      <c r="J15" s="121">
        <f t="shared" si="7"/>
        <v>25.03492948094784</v>
      </c>
      <c r="K15" s="121">
        <f t="shared" si="7"/>
        <v>25.128931921446444</v>
      </c>
      <c r="L15" s="121">
        <f t="shared" si="7"/>
        <v>25.204304372522014</v>
      </c>
      <c r="M15" s="87"/>
    </row>
    <row r="16" spans="1:13" s="5" customFormat="1" ht="10.5">
      <c r="A16" s="87"/>
      <c r="B16" s="88" t="s">
        <v>4</v>
      </c>
      <c r="C16" s="121">
        <f aca="true" t="shared" si="8" ref="C16:L16">10^(($I$32)+($I$34)*LOG(C7)/LOG(10))</f>
        <v>1801.0917101109108</v>
      </c>
      <c r="D16" s="121">
        <f t="shared" si="8"/>
        <v>1723.2120860545867</v>
      </c>
      <c r="E16" s="121">
        <f t="shared" si="8"/>
        <v>1637.4961663291542</v>
      </c>
      <c r="F16" s="121">
        <f t="shared" si="8"/>
        <v>1572.957170877815</v>
      </c>
      <c r="G16" s="121">
        <f t="shared" si="8"/>
        <v>1523.6300962636592</v>
      </c>
      <c r="H16" s="121">
        <f t="shared" si="8"/>
        <v>1485.4892266225168</v>
      </c>
      <c r="I16" s="121">
        <f t="shared" si="8"/>
        <v>1455.7287677651414</v>
      </c>
      <c r="J16" s="121">
        <f t="shared" si="8"/>
        <v>1432.340697905331</v>
      </c>
      <c r="K16" s="121">
        <f t="shared" si="8"/>
        <v>1413.8561879031017</v>
      </c>
      <c r="L16" s="121">
        <f t="shared" si="8"/>
        <v>1399.181247784621</v>
      </c>
      <c r="M16" s="87"/>
    </row>
    <row r="17" spans="1:13" s="5" customFormat="1" ht="10.5">
      <c r="A17" s="87"/>
      <c r="B17" s="90" t="s">
        <v>5</v>
      </c>
      <c r="C17" s="122">
        <f aca="true" t="shared" si="9" ref="C17:L17">(($C$32)*(C7)^($C$33)+($C$34)*(C7)^($C$35)/(C16))^(-1)</f>
        <v>348.80548407534195</v>
      </c>
      <c r="D17" s="122">
        <f t="shared" si="9"/>
        <v>360.01990087643753</v>
      </c>
      <c r="E17" s="122">
        <f t="shared" si="9"/>
        <v>373.41326245590653</v>
      </c>
      <c r="F17" s="122">
        <f t="shared" si="9"/>
        <v>384.3189377111182</v>
      </c>
      <c r="G17" s="122">
        <f t="shared" si="9"/>
        <v>393.18591320707594</v>
      </c>
      <c r="H17" s="122">
        <f t="shared" si="9"/>
        <v>400.3870630203547</v>
      </c>
      <c r="I17" s="122">
        <f t="shared" si="9"/>
        <v>406.2301123837467</v>
      </c>
      <c r="J17" s="122">
        <f t="shared" si="9"/>
        <v>410.9678511138985</v>
      </c>
      <c r="K17" s="122">
        <f t="shared" si="9"/>
        <v>414.80722322306394</v>
      </c>
      <c r="L17" s="122">
        <f t="shared" si="9"/>
        <v>417.91719539166337</v>
      </c>
      <c r="M17" s="87"/>
    </row>
    <row r="18" spans="1:13" ht="12">
      <c r="A18" s="92"/>
      <c r="B18" s="93"/>
      <c r="C18" s="94"/>
      <c r="D18" s="94"/>
      <c r="E18" s="94"/>
      <c r="F18" s="94"/>
      <c r="G18" s="94"/>
      <c r="H18" s="94"/>
      <c r="I18" s="94"/>
      <c r="J18" s="94"/>
      <c r="K18" s="94"/>
      <c r="L18" s="94"/>
      <c r="M18" s="92"/>
    </row>
    <row r="19" spans="1:13" ht="12">
      <c r="A19" s="92"/>
      <c r="B19" s="98"/>
      <c r="C19" s="98"/>
      <c r="D19" s="94"/>
      <c r="E19" s="94"/>
      <c r="F19" s="94"/>
      <c r="G19" s="94"/>
      <c r="H19" s="94"/>
      <c r="I19" s="95" t="s">
        <v>28</v>
      </c>
      <c r="J19" s="96"/>
      <c r="K19" s="96"/>
      <c r="L19" s="94"/>
      <c r="M19" s="92"/>
    </row>
    <row r="20" spans="1:13" ht="12">
      <c r="A20" s="92"/>
      <c r="B20" s="97"/>
      <c r="C20" s="98"/>
      <c r="D20" s="94"/>
      <c r="E20" s="94"/>
      <c r="F20" s="94"/>
      <c r="G20" s="94"/>
      <c r="H20" s="94"/>
      <c r="I20" s="99">
        <f>1.1888*LN($E$4/5)-0.6133</f>
        <v>2.124013158551322</v>
      </c>
      <c r="J20" s="96"/>
      <c r="K20" s="96"/>
      <c r="L20" s="94"/>
      <c r="M20" s="92"/>
    </row>
    <row r="21" spans="1:13" ht="12">
      <c r="A21" s="92"/>
      <c r="B21" s="97"/>
      <c r="C21" s="98"/>
      <c r="D21" s="94"/>
      <c r="E21" s="94"/>
      <c r="F21" s="94"/>
      <c r="G21" s="94"/>
      <c r="H21" s="94"/>
      <c r="I21" s="99">
        <f>1.1888*LN(J21/5)-0.6133</f>
        <v>2.2373179003027035</v>
      </c>
      <c r="J21" s="100">
        <f>E4+5</f>
        <v>55</v>
      </c>
      <c r="K21" s="101">
        <f>($C$38)*(1-($D$38)*EXP(-$E$38*(J21)))-(1.96*$I$21)</f>
        <v>19.4210200702127</v>
      </c>
      <c r="L21" s="94"/>
      <c r="M21" s="92"/>
    </row>
    <row r="22" spans="1:13" ht="12">
      <c r="A22" s="92"/>
      <c r="B22" s="97"/>
      <c r="C22" s="98"/>
      <c r="D22" s="94"/>
      <c r="E22" s="94"/>
      <c r="F22" s="94"/>
      <c r="G22" s="94"/>
      <c r="H22" s="94"/>
      <c r="I22" s="99">
        <f aca="true" t="shared" si="10" ref="I22:I29">1.1888*LN(J22/5)-0.6133</f>
        <v>2.3407570252679752</v>
      </c>
      <c r="J22" s="100">
        <f aca="true" t="shared" si="11" ref="J22:J29">J21+5</f>
        <v>60</v>
      </c>
      <c r="K22" s="101">
        <f aca="true" t="shared" si="12" ref="K22:K29">($C$38)*(1-($D$38)*EXP(-$E$38*(J22)))-(1.96*$I$21)</f>
        <v>19.985697614823227</v>
      </c>
      <c r="L22" s="94"/>
      <c r="M22" s="92"/>
    </row>
    <row r="23" spans="1:13" ht="12">
      <c r="A23" s="92"/>
      <c r="B23" s="97"/>
      <c r="C23" s="98"/>
      <c r="D23" s="94"/>
      <c r="E23" s="94"/>
      <c r="F23" s="94"/>
      <c r="G23" s="94"/>
      <c r="H23" s="94"/>
      <c r="I23" s="99">
        <f t="shared" si="10"/>
        <v>2.4359117961502754</v>
      </c>
      <c r="J23" s="100">
        <f t="shared" si="11"/>
        <v>65</v>
      </c>
      <c r="K23" s="101">
        <f t="shared" si="12"/>
        <v>20.442273468913136</v>
      </c>
      <c r="L23" s="94"/>
      <c r="M23" s="92"/>
    </row>
    <row r="24" spans="1:13" ht="12">
      <c r="A24" s="92"/>
      <c r="B24" s="97"/>
      <c r="C24" s="98"/>
      <c r="D24" s="102"/>
      <c r="E24" s="102"/>
      <c r="F24" s="92"/>
      <c r="G24" s="92"/>
      <c r="H24" s="102"/>
      <c r="I24" s="99">
        <f t="shared" si="10"/>
        <v>2.5240113534466193</v>
      </c>
      <c r="J24" s="100">
        <f t="shared" si="11"/>
        <v>70</v>
      </c>
      <c r="K24" s="101">
        <f t="shared" si="12"/>
        <v>20.811442585920812</v>
      </c>
      <c r="L24" s="102"/>
      <c r="M24" s="92"/>
    </row>
    <row r="25" spans="1:13" ht="12">
      <c r="A25" s="103"/>
      <c r="B25" s="98"/>
      <c r="C25" s="98"/>
      <c r="D25" s="103"/>
      <c r="E25" s="103"/>
      <c r="F25" s="103"/>
      <c r="G25" s="103"/>
      <c r="H25" s="94"/>
      <c r="I25" s="99">
        <f t="shared" si="10"/>
        <v>2.6060300790703073</v>
      </c>
      <c r="J25" s="100">
        <f t="shared" si="11"/>
        <v>75</v>
      </c>
      <c r="K25" s="101">
        <f t="shared" si="12"/>
        <v>21.109938083944648</v>
      </c>
      <c r="L25" s="103"/>
      <c r="M25" s="92"/>
    </row>
    <row r="26" spans="1:13" ht="12">
      <c r="A26" s="103"/>
      <c r="B26" s="98"/>
      <c r="C26" s="98"/>
      <c r="D26" s="103"/>
      <c r="E26" s="103"/>
      <c r="F26" s="103"/>
      <c r="G26" s="103"/>
      <c r="H26" s="94"/>
      <c r="I26" s="99">
        <f t="shared" si="10"/>
        <v>2.6827534729986517</v>
      </c>
      <c r="J26" s="100">
        <f t="shared" si="11"/>
        <v>80</v>
      </c>
      <c r="K26" s="101">
        <f t="shared" si="12"/>
        <v>21.351289698247335</v>
      </c>
      <c r="L26" s="103"/>
      <c r="M26" s="92"/>
    </row>
    <row r="27" spans="1:13" ht="12">
      <c r="A27" s="103"/>
      <c r="B27" s="98"/>
      <c r="C27" s="98"/>
      <c r="D27" s="103"/>
      <c r="E27" s="103"/>
      <c r="F27" s="103"/>
      <c r="G27" s="103"/>
      <c r="H27" s="94"/>
      <c r="I27" s="99">
        <f t="shared" si="10"/>
        <v>2.75482402341403</v>
      </c>
      <c r="J27" s="100">
        <f t="shared" si="11"/>
        <v>85</v>
      </c>
      <c r="K27" s="101">
        <f t="shared" si="12"/>
        <v>21.546437035852605</v>
      </c>
      <c r="L27" s="103"/>
      <c r="M27" s="92"/>
    </row>
    <row r="28" spans="1:13" ht="12">
      <c r="A28" s="103"/>
      <c r="B28" s="98"/>
      <c r="C28" s="98"/>
      <c r="D28" s="103"/>
      <c r="E28" s="103"/>
      <c r="F28" s="103"/>
      <c r="G28" s="103"/>
      <c r="H28" s="94"/>
      <c r="I28" s="99">
        <f t="shared" si="10"/>
        <v>2.8227739457869605</v>
      </c>
      <c r="J28" s="100">
        <f t="shared" si="11"/>
        <v>90</v>
      </c>
      <c r="K28" s="101">
        <f t="shared" si="12"/>
        <v>21.70422542887601</v>
      </c>
      <c r="L28" s="103"/>
      <c r="M28" s="92"/>
    </row>
    <row r="29" spans="1:13" ht="12">
      <c r="A29" s="103"/>
      <c r="B29" s="98"/>
      <c r="C29" s="98"/>
      <c r="D29" s="103"/>
      <c r="E29" s="103"/>
      <c r="F29" s="103"/>
      <c r="G29" s="103"/>
      <c r="H29" s="94"/>
      <c r="I29" s="99">
        <f t="shared" si="10"/>
        <v>2.887049058433065</v>
      </c>
      <c r="J29" s="100">
        <f t="shared" si="11"/>
        <v>95</v>
      </c>
      <c r="K29" s="101">
        <f t="shared" si="12"/>
        <v>21.831806861850872</v>
      </c>
      <c r="L29" s="103"/>
      <c r="M29" s="92"/>
    </row>
    <row r="30" spans="1:13" ht="12">
      <c r="A30" s="103"/>
      <c r="B30" s="98"/>
      <c r="C30" s="98"/>
      <c r="D30" s="103"/>
      <c r="E30" s="103"/>
      <c r="F30" s="103"/>
      <c r="G30" s="103"/>
      <c r="H30" s="94"/>
      <c r="I30" s="103"/>
      <c r="J30" s="103"/>
      <c r="K30" s="103"/>
      <c r="L30" s="103"/>
      <c r="M30" s="92"/>
    </row>
    <row r="31" spans="1:13" s="4" customFormat="1" ht="10.5">
      <c r="A31" s="115"/>
      <c r="B31" s="116" t="s">
        <v>6</v>
      </c>
      <c r="C31" s="115"/>
      <c r="D31" s="116" t="s">
        <v>7</v>
      </c>
      <c r="E31" s="115"/>
      <c r="F31" s="117" t="s">
        <v>8</v>
      </c>
      <c r="G31" s="115"/>
      <c r="H31" s="116" t="s">
        <v>9</v>
      </c>
      <c r="I31" s="115"/>
      <c r="J31" s="115"/>
      <c r="K31" s="87"/>
      <c r="L31" s="87"/>
      <c r="M31" s="87"/>
    </row>
    <row r="32" spans="1:13" s="4" customFormat="1" ht="10.5">
      <c r="A32" s="106"/>
      <c r="B32" s="98" t="s">
        <v>10</v>
      </c>
      <c r="C32" s="108">
        <f>+'地位級Ⅲ'!C32</f>
        <v>0.095669</v>
      </c>
      <c r="D32" s="98" t="s">
        <v>11</v>
      </c>
      <c r="E32" s="108">
        <f>+'地位級Ⅲ'!E32</f>
        <v>0.578096</v>
      </c>
      <c r="F32" s="98" t="s">
        <v>12</v>
      </c>
      <c r="G32" s="109">
        <f>+'地位級Ⅲ'!G32</f>
        <v>-0.155598</v>
      </c>
      <c r="H32" s="98" t="s">
        <v>13</v>
      </c>
      <c r="I32" s="108">
        <f>+'地位級Ⅲ'!I32</f>
        <v>5.5297</v>
      </c>
      <c r="J32" s="106"/>
      <c r="K32" s="87"/>
      <c r="L32" s="87"/>
      <c r="M32" s="87"/>
    </row>
    <row r="33" spans="1:13" s="4" customFormat="1" ht="10.5">
      <c r="A33" s="106"/>
      <c r="B33" s="98" t="s">
        <v>14</v>
      </c>
      <c r="C33" s="108">
        <f>+'地位級Ⅲ'!C33</f>
        <v>-1.274434</v>
      </c>
      <c r="D33" s="98" t="s">
        <v>15</v>
      </c>
      <c r="E33" s="108">
        <f>+'地位級Ⅲ'!E33</f>
        <v>0.460651</v>
      </c>
      <c r="F33" s="98" t="s">
        <v>16</v>
      </c>
      <c r="G33" s="109">
        <f>+'地位級Ⅲ'!G33</f>
        <v>0.982606</v>
      </c>
      <c r="H33" s="98" t="s">
        <v>17</v>
      </c>
      <c r="I33" s="106"/>
      <c r="J33" s="106"/>
      <c r="K33" s="87"/>
      <c r="L33" s="87"/>
      <c r="M33" s="87"/>
    </row>
    <row r="34" spans="1:13" s="4" customFormat="1" ht="10.5">
      <c r="A34" s="106"/>
      <c r="B34" s="98" t="s">
        <v>18</v>
      </c>
      <c r="C34" s="108">
        <f>+'地位級Ⅲ'!C34</f>
        <v>8833.4</v>
      </c>
      <c r="D34" s="98" t="s">
        <v>19</v>
      </c>
      <c r="E34" s="108">
        <f>+'地位級Ⅲ'!E34</f>
        <v>0.042259</v>
      </c>
      <c r="F34" s="98" t="s">
        <v>20</v>
      </c>
      <c r="G34" s="109">
        <f>+'地位級Ⅲ'!G34</f>
        <v>0</v>
      </c>
      <c r="H34" s="98" t="s">
        <v>21</v>
      </c>
      <c r="I34" s="108">
        <f>C35-(C33)</f>
        <v>-1.780184</v>
      </c>
      <c r="J34" s="106"/>
      <c r="K34" s="87"/>
      <c r="L34" s="87"/>
      <c r="M34" s="87"/>
    </row>
    <row r="35" spans="1:13" s="4" customFormat="1" ht="10.5">
      <c r="A35" s="106"/>
      <c r="B35" s="98" t="s">
        <v>22</v>
      </c>
      <c r="C35" s="108">
        <f>+'地位級Ⅲ'!C35</f>
        <v>-3.054618</v>
      </c>
      <c r="D35" s="106"/>
      <c r="E35" s="106"/>
      <c r="F35" s="106"/>
      <c r="G35" s="106"/>
      <c r="H35" s="106"/>
      <c r="I35" s="106"/>
      <c r="J35" s="106"/>
      <c r="K35" s="87"/>
      <c r="L35" s="87"/>
      <c r="M35" s="87"/>
    </row>
    <row r="36" spans="1:13" s="4" customFormat="1" ht="10.5">
      <c r="A36" s="106"/>
      <c r="B36" s="98" t="s">
        <v>27</v>
      </c>
      <c r="C36" s="106"/>
      <c r="D36" s="106"/>
      <c r="E36" s="106"/>
      <c r="F36" s="110" t="s">
        <v>26</v>
      </c>
      <c r="G36" s="106"/>
      <c r="H36" s="111"/>
      <c r="I36" s="118"/>
      <c r="J36" s="118"/>
      <c r="K36" s="87"/>
      <c r="L36" s="87"/>
      <c r="M36" s="87"/>
    </row>
    <row r="37" spans="1:13" s="4" customFormat="1" ht="10.5">
      <c r="A37" s="106"/>
      <c r="B37" s="98" t="s">
        <v>0</v>
      </c>
      <c r="C37" s="88" t="s">
        <v>23</v>
      </c>
      <c r="D37" s="88" t="s">
        <v>24</v>
      </c>
      <c r="E37" s="88" t="s">
        <v>25</v>
      </c>
      <c r="F37" s="106"/>
      <c r="G37" s="106"/>
      <c r="H37" s="111"/>
      <c r="I37" s="118"/>
      <c r="J37" s="118"/>
      <c r="K37" s="87"/>
      <c r="L37" s="87"/>
      <c r="M37" s="87"/>
    </row>
    <row r="38" spans="1:13" s="4" customFormat="1" ht="10.5">
      <c r="A38" s="112"/>
      <c r="B38" s="90" t="str">
        <f>+D4</f>
        <v>Ⅴ</v>
      </c>
      <c r="C38" s="112">
        <f>+'地位級Ⅲ'!C38</f>
        <v>26.7558</v>
      </c>
      <c r="D38" s="112">
        <f>+'地位級Ⅲ'!D38</f>
        <v>1.1416</v>
      </c>
      <c r="E38" s="112">
        <f>+'地位級Ⅲ'!E38</f>
        <v>0.0425</v>
      </c>
      <c r="F38" s="112"/>
      <c r="G38" s="112"/>
      <c r="H38" s="113"/>
      <c r="I38" s="119"/>
      <c r="J38" s="119"/>
      <c r="K38" s="112"/>
      <c r="L38" s="112"/>
      <c r="M38" s="87"/>
    </row>
    <row r="39" spans="1:12" ht="12">
      <c r="A39" s="3"/>
      <c r="B39" s="3"/>
      <c r="C39" s="3"/>
      <c r="D39" s="3"/>
      <c r="E39" s="3"/>
      <c r="F39" s="3"/>
      <c r="G39" s="3"/>
      <c r="H39" s="3"/>
      <c r="I39" s="3"/>
      <c r="J39" s="3"/>
      <c r="K39" s="3"/>
      <c r="L39" s="3"/>
    </row>
    <row r="40" s="1" customFormat="1" ht="12"/>
  </sheetData>
  <sheetProtection password="D7CD" sheet="1" objects="1" scenarios="1" selectLockedCells="1"/>
  <mergeCells count="3">
    <mergeCell ref="C1:I1"/>
    <mergeCell ref="D2:G2"/>
    <mergeCell ref="I2:L4"/>
  </mergeCells>
  <printOptions/>
  <pageMargins left="0.75" right="0.75" top="1" bottom="1" header="0.512" footer="0.512"/>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片倉正行</dc:creator>
  <cp:keywords/>
  <dc:description/>
  <cp:lastModifiedBy>長野県</cp:lastModifiedBy>
  <cp:lastPrinted>2006-04-04T08:15:04Z</cp:lastPrinted>
  <dcterms:created xsi:type="dcterms:W3CDTF">1997-05-13T23:57:32Z</dcterms:created>
  <dcterms:modified xsi:type="dcterms:W3CDTF">2008-07-02T11:10:05Z</dcterms:modified>
  <cp:category/>
  <cp:version/>
  <cp:contentType/>
  <cp:contentStatus/>
</cp:coreProperties>
</file>