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220"/>
  <workbookPr showInkAnnotation="0" autoCompressPictures="0"/>
  <bookViews>
    <workbookView xWindow="8380" yWindow="20" windowWidth="25360" windowHeight="14660" tabRatio="772" activeTab="1"/>
  </bookViews>
  <sheets>
    <sheet name="使用方法" sheetId="183" r:id="rId1"/>
    <sheet name="パラメータ" sheetId="175" r:id="rId2"/>
    <sheet name=" PL1" sheetId="144" r:id="rId3"/>
    <sheet name="FNC1" sheetId="143" r:id="rId4"/>
    <sheet name="AS1" sheetId="122" r:id="rId5"/>
    <sheet name="小水力運用" sheetId="155" r:id="rId6"/>
    <sheet name="保険料" sheetId="169" r:id="rId7"/>
    <sheet name="共済" sheetId="182" r:id="rId8"/>
    <sheet name="設備耐用年数" sheetId="177" r:id="rId9"/>
  </sheets>
  <definedNames>
    <definedName name="√幅×高さ">パラメータ!$F$157</definedName>
    <definedName name="FIT期間">パラメータ!$F$53</definedName>
    <definedName name="G電単価">パラメータ!$F$57</definedName>
    <definedName name="_xlnm.Print_Area" localSheetId="2">' PL1'!$A$1:$AB$74</definedName>
    <definedName name="_xlnm.Print_Area" localSheetId="4">'FNC1'!$A$1:$X$36</definedName>
    <definedName name="_xlnm.Print_Area" localSheetId="3">小水力運用!#REF!</definedName>
    <definedName name="_xlnm.Print_Area" localSheetId="1">パラメータ!$B$4:$I$99</definedName>
    <definedName name="_xlnm.Print_Area" localSheetId="5">保険料!$A$15:$L$40</definedName>
    <definedName name="サージタンク水深">パラメータ!$F$82</definedName>
    <definedName name="サージタンク水路延長">パラメータ!$F$83</definedName>
    <definedName name="システム月額使用料">パラメータ!$F$42</definedName>
    <definedName name="その他計算">パラメータ!$F$74</definedName>
    <definedName name="その他費用">パラメータ!$F$119</definedName>
    <definedName name="トンネル道路新設距離">パラメータ!$F$97</definedName>
    <definedName name="メーター検定">パラメータ!$F$40</definedName>
    <definedName name="ユーザー収入FIT">パラメータ!$F$107</definedName>
    <definedName name="ユーザー収入通常">パラメータ!$F$108</definedName>
    <definedName name="遠隔監視費">パラメータ!$F$42</definedName>
    <definedName name="稼働率">パラメータ!$F$11</definedName>
    <definedName name="機械原価計算">パラメータ!$F$68</definedName>
    <definedName name="機械装置">パラメータ!$F$116</definedName>
    <definedName name="機械装置計算">パラメータ!$F$68</definedName>
    <definedName name="機器原価">パラメータ!$F$116</definedName>
    <definedName name="系統連係費用">パラメータ!$F$16</definedName>
    <definedName name="建家">パラメータ!$F$118</definedName>
    <definedName name="建家自動計算">パラメータ!$F$70</definedName>
    <definedName name="建築・機械">パラメータ!$F$115</definedName>
    <definedName name="建築・機械計算">パラメータ!$F$66</definedName>
    <definedName name="固定資産税率">パラメータ!$F$48</definedName>
    <definedName name="交換機器費">パラメータ!$F$39</definedName>
    <definedName name="交換機機器費">パラメータ!$F$39</definedName>
    <definedName name="交通費">パラメータ!$F$37</definedName>
    <definedName name="工事費">パラメータ!$F$114</definedName>
    <definedName name="工事費計算">パラメータ!$F$62</definedName>
    <definedName name="高圧配電費用">パラメータ!$F$17</definedName>
    <definedName name="最大使用水量">パラメータ!$F$9</definedName>
    <definedName name="最大出力">パラメータ!$F$7</definedName>
    <definedName name="最大理論水力">パラメータ!$F$155</definedName>
    <definedName name="事業主体">パラメータ!$F$5</definedName>
    <definedName name="事業費">パラメータ!$F$112</definedName>
    <definedName name="自家消費率">パラメータ!$F$59</definedName>
    <definedName name="借入期間">パラメータ!$F$52</definedName>
    <definedName name="主機台数">パラメータ!$F$90</definedName>
    <definedName name="取水ダム有無">パラメータ!$F$78</definedName>
    <definedName name="修繕引当金">パラメータ!$F$45</definedName>
    <definedName name="修繕引当金自動計算">パラメータ!$F$44</definedName>
    <definedName name="充当率">パラメータ!$F$27</definedName>
    <definedName name="償還期間">パラメータ!$F$30</definedName>
    <definedName name="償還方法">パラメータ!$F$31</definedName>
    <definedName name="消費税">パラメータ!$F$47</definedName>
    <definedName name="常時使用水量">パラメータ!$F$10</definedName>
    <definedName name="常時理論水力">パラメータ!$F$154</definedName>
    <definedName name="水圧管延長１">パラメータ!$F$86</definedName>
    <definedName name="水圧管延長２">パラメータ!$F$89</definedName>
    <definedName name="水圧管種類１">パラメータ!$F$84</definedName>
    <definedName name="水圧管種類２">パラメータ!$F$87</definedName>
    <definedName name="水圧管内径">パラメータ!$F$209</definedName>
    <definedName name="水圧管敷設方式１">パラメータ!$F$85</definedName>
    <definedName name="水圧管敷設方式２">パラメータ!$F$88</definedName>
    <definedName name="水圧管路鉄管単価１">パラメータ!$F$197</definedName>
    <definedName name="水圧管路鉄管単価２">パラメータ!$F$199</definedName>
    <definedName name="水車種類">パラメータ!$F$91</definedName>
    <definedName name="水車部品交換工事外注費">パラメータ!$F$35</definedName>
    <definedName name="水槽形式">パラメータ!$F$81</definedName>
    <definedName name="据置期間">パラメータ!$F$29</definedName>
    <definedName name="設計費">パラメータ!$F$15</definedName>
    <definedName name="設置サイト数">パラメータ!$F$6</definedName>
    <definedName name="設置容量">パラメータ!$F$7</definedName>
    <definedName name="措置率">パラメータ!$F$28</definedName>
    <definedName name="調査費">パラメータ!$F$14</definedName>
    <definedName name="鉄管総重量１">パラメータ!$F$196</definedName>
    <definedName name="鉄管総重量２">パラメータ!$F$198</definedName>
    <definedName name="点検診断機材費">パラメータ!$F$38</definedName>
    <definedName name="点検人件費">パラメータ!$F$34</definedName>
    <definedName name="電気工事外注費">パラメータ!$F$36</definedName>
    <definedName name="電力契約諸費用">パラメータ!$F$18</definedName>
    <definedName name="土木工事費計算">パラメータ!$F$64</definedName>
    <definedName name="冬季休止有無">パラメータ!$F$99</definedName>
    <definedName name="導水路延長">パラメータ!$F$80</definedName>
    <definedName name="導水路敷設方式">パラメータ!$F$79</definedName>
    <definedName name="道路改良距離">パラメータ!$F$98</definedName>
    <definedName name="道路新設距離">パラメータ!$F$96</definedName>
    <definedName name="年間発電量">パラメータ!$F$102</definedName>
    <definedName name="買電単価">パラメータ!$F$56</definedName>
    <definedName name="売電単価">パラメータ!$F$55</definedName>
    <definedName name="売電単価FIT">パラメータ!$F$54</definedName>
    <definedName name="販管費率">パラメータ!$F$58</definedName>
    <definedName name="補助金合計">パラメータ!$F$21</definedName>
    <definedName name="放水口ゲート">パラメータ!$F$95</definedName>
    <definedName name="放水路延長">パラメータ!$F$94</definedName>
    <definedName name="放水路敷設方式">パラメータ!$F$93</definedName>
    <definedName name="防水補強費">パラメータ!$F$41</definedName>
    <definedName name="無圧放水口ゲート">パラメータ!$F$95</definedName>
    <definedName name="有効落差">パラメータ!$F$8</definedName>
    <definedName name="融資金利">パラメータ!$F$51</definedName>
    <definedName name="用地取得">パラメータ!$F$117</definedName>
    <definedName name="用地取得計算">パラメータ!$F$72</definedName>
    <definedName name="流水占用料">パラメータ!$F$33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7" i="143" l="1"/>
  <c r="F198" i="175"/>
  <c r="F199" i="175"/>
  <c r="F140" i="175"/>
  <c r="F116" i="175"/>
  <c r="F22" i="175"/>
  <c r="F223" i="175"/>
  <c r="B28" i="169"/>
  <c r="E28" i="169"/>
  <c r="F28" i="169"/>
  <c r="F102" i="175"/>
  <c r="F104" i="175"/>
  <c r="F106" i="175"/>
  <c r="F107" i="175"/>
  <c r="F105" i="175"/>
  <c r="F108" i="175"/>
  <c r="X8" i="144"/>
  <c r="X10" i="144"/>
  <c r="X7" i="144"/>
  <c r="U11" i="169"/>
  <c r="C4" i="169"/>
  <c r="E4" i="169"/>
  <c r="F4" i="169"/>
  <c r="G4" i="169"/>
  <c r="H4" i="169"/>
  <c r="I4" i="169"/>
  <c r="J4" i="169"/>
  <c r="K4" i="169"/>
  <c r="L4" i="169"/>
  <c r="M4" i="169"/>
  <c r="N4" i="169"/>
  <c r="O4" i="169"/>
  <c r="P4" i="169"/>
  <c r="Q4" i="169"/>
  <c r="R4" i="169"/>
  <c r="S4" i="169"/>
  <c r="T4" i="169"/>
  <c r="U9" i="169"/>
  <c r="F123" i="175"/>
  <c r="F118" i="175"/>
  <c r="C5" i="169"/>
  <c r="E5" i="169"/>
  <c r="D5" i="169"/>
  <c r="F5" i="169"/>
  <c r="G5" i="169"/>
  <c r="H5" i="169"/>
  <c r="I5" i="169"/>
  <c r="J5" i="169"/>
  <c r="K5" i="169"/>
  <c r="L5" i="169"/>
  <c r="M5" i="169"/>
  <c r="N5" i="169"/>
  <c r="O5" i="169"/>
  <c r="P5" i="169"/>
  <c r="Q5" i="169"/>
  <c r="R5" i="169"/>
  <c r="S5" i="169"/>
  <c r="T5" i="169"/>
  <c r="U10" i="169"/>
  <c r="U12" i="169"/>
  <c r="U28" i="169"/>
  <c r="B30" i="169"/>
  <c r="E30" i="169"/>
  <c r="U30" i="169"/>
  <c r="U31" i="169"/>
  <c r="X17" i="144"/>
  <c r="E36" i="122"/>
  <c r="C18" i="122"/>
  <c r="C39" i="122"/>
  <c r="D39" i="122"/>
  <c r="E37" i="122"/>
  <c r="F37" i="122"/>
  <c r="G37" i="122"/>
  <c r="H37" i="122"/>
  <c r="I37" i="122"/>
  <c r="J37" i="122"/>
  <c r="K37" i="122"/>
  <c r="L37" i="122"/>
  <c r="M37" i="122"/>
  <c r="N37" i="122"/>
  <c r="O37" i="122"/>
  <c r="P37" i="122"/>
  <c r="Q37" i="122"/>
  <c r="R37" i="122"/>
  <c r="S37" i="122"/>
  <c r="S39" i="122"/>
  <c r="E32" i="122"/>
  <c r="E33" i="122"/>
  <c r="F33" i="122"/>
  <c r="G33" i="122"/>
  <c r="H33" i="122"/>
  <c r="I33" i="122"/>
  <c r="J33" i="122"/>
  <c r="K33" i="122"/>
  <c r="L33" i="122"/>
  <c r="M33" i="122"/>
  <c r="N33" i="122"/>
  <c r="O33" i="122"/>
  <c r="P33" i="122"/>
  <c r="Q33" i="122"/>
  <c r="R33" i="122"/>
  <c r="S33" i="122"/>
  <c r="S35" i="122"/>
  <c r="T40" i="122"/>
  <c r="X18" i="144"/>
  <c r="F21" i="175"/>
  <c r="E9" i="122"/>
  <c r="E13" i="122"/>
  <c r="E12" i="122"/>
  <c r="E14" i="122"/>
  <c r="E16" i="122"/>
  <c r="E17" i="122"/>
  <c r="F12" i="122"/>
  <c r="F14" i="122"/>
  <c r="E10" i="122"/>
  <c r="F15" i="122"/>
  <c r="F16" i="122"/>
  <c r="F17" i="122"/>
  <c r="G12" i="122"/>
  <c r="G14" i="122"/>
  <c r="G15" i="122"/>
  <c r="G16" i="122"/>
  <c r="G17" i="122"/>
  <c r="H12" i="122"/>
  <c r="H14" i="122"/>
  <c r="H15" i="122"/>
  <c r="H16" i="122"/>
  <c r="H17" i="122"/>
  <c r="I12" i="122"/>
  <c r="I14" i="122"/>
  <c r="I15" i="122"/>
  <c r="I16" i="122"/>
  <c r="I17" i="122"/>
  <c r="J12" i="122"/>
  <c r="J14" i="122"/>
  <c r="J15" i="122"/>
  <c r="J16" i="122"/>
  <c r="J17" i="122"/>
  <c r="K12" i="122"/>
  <c r="K14" i="122"/>
  <c r="K15" i="122"/>
  <c r="K16" i="122"/>
  <c r="K17" i="122"/>
  <c r="L12" i="122"/>
  <c r="L14" i="122"/>
  <c r="L15" i="122"/>
  <c r="L16" i="122"/>
  <c r="L17" i="122"/>
  <c r="M12" i="122"/>
  <c r="M14" i="122"/>
  <c r="M15" i="122"/>
  <c r="M16" i="122"/>
  <c r="M17" i="122"/>
  <c r="N12" i="122"/>
  <c r="N14" i="122"/>
  <c r="N15" i="122"/>
  <c r="N16" i="122"/>
  <c r="N17" i="122"/>
  <c r="O12" i="122"/>
  <c r="O14" i="122"/>
  <c r="O15" i="122"/>
  <c r="P15" i="122"/>
  <c r="Q15" i="122"/>
  <c r="R15" i="122"/>
  <c r="S15" i="122"/>
  <c r="T15" i="122"/>
  <c r="O16" i="122"/>
  <c r="O17" i="122"/>
  <c r="P16" i="122"/>
  <c r="P12" i="122"/>
  <c r="P17" i="122"/>
  <c r="Q16" i="122"/>
  <c r="Q12" i="122"/>
  <c r="Q17" i="122"/>
  <c r="R16" i="122"/>
  <c r="R12" i="122"/>
  <c r="R17" i="122"/>
  <c r="S16" i="122"/>
  <c r="S12" i="122"/>
  <c r="S17" i="122"/>
  <c r="T16" i="122"/>
  <c r="E18" i="122"/>
  <c r="E21" i="122"/>
  <c r="C19" i="122"/>
  <c r="E23" i="122"/>
  <c r="E25" i="122"/>
  <c r="E26" i="122"/>
  <c r="F21" i="122"/>
  <c r="F23" i="122"/>
  <c r="E20" i="122"/>
  <c r="E19" i="122"/>
  <c r="F24" i="122"/>
  <c r="F25" i="122"/>
  <c r="F26" i="122"/>
  <c r="G21" i="122"/>
  <c r="G23" i="122"/>
  <c r="G24" i="122"/>
  <c r="G25" i="122"/>
  <c r="G26" i="122"/>
  <c r="H21" i="122"/>
  <c r="H23" i="122"/>
  <c r="H24" i="122"/>
  <c r="H25" i="122"/>
  <c r="H26" i="122"/>
  <c r="I21" i="122"/>
  <c r="I23" i="122"/>
  <c r="I24" i="122"/>
  <c r="I25" i="122"/>
  <c r="I26" i="122"/>
  <c r="J21" i="122"/>
  <c r="J23" i="122"/>
  <c r="J24" i="122"/>
  <c r="J25" i="122"/>
  <c r="J26" i="122"/>
  <c r="K21" i="122"/>
  <c r="K23" i="122"/>
  <c r="K24" i="122"/>
  <c r="K25" i="122"/>
  <c r="K26" i="122"/>
  <c r="L21" i="122"/>
  <c r="L23" i="122"/>
  <c r="L24" i="122"/>
  <c r="L25" i="122"/>
  <c r="L26" i="122"/>
  <c r="M21" i="122"/>
  <c r="M23" i="122"/>
  <c r="M24" i="122"/>
  <c r="M25" i="122"/>
  <c r="M26" i="122"/>
  <c r="N21" i="122"/>
  <c r="N23" i="122"/>
  <c r="N24" i="122"/>
  <c r="N25" i="122"/>
  <c r="N26" i="122"/>
  <c r="O21" i="122"/>
  <c r="O23" i="122"/>
  <c r="O24" i="122"/>
  <c r="O25" i="122"/>
  <c r="O26" i="122"/>
  <c r="P21" i="122"/>
  <c r="P23" i="122"/>
  <c r="P24" i="122"/>
  <c r="P25" i="122"/>
  <c r="P26" i="122"/>
  <c r="Q21" i="122"/>
  <c r="Q23" i="122"/>
  <c r="Q24" i="122"/>
  <c r="Q25" i="122"/>
  <c r="Q26" i="122"/>
  <c r="R21" i="122"/>
  <c r="R23" i="122"/>
  <c r="R24" i="122"/>
  <c r="R25" i="122"/>
  <c r="R26" i="122"/>
  <c r="S21" i="122"/>
  <c r="S23" i="122"/>
  <c r="S24" i="122"/>
  <c r="S25" i="122"/>
  <c r="S26" i="122"/>
  <c r="T21" i="122"/>
  <c r="T23" i="122"/>
  <c r="T24" i="122"/>
  <c r="C20" i="122"/>
  <c r="T25" i="122"/>
  <c r="T28" i="122"/>
  <c r="X19" i="144"/>
  <c r="X14" i="144"/>
  <c r="F33" i="155"/>
  <c r="G33" i="155"/>
  <c r="H33" i="155"/>
  <c r="L33" i="155"/>
  <c r="X15" i="144"/>
  <c r="F154" i="175"/>
  <c r="F155" i="175"/>
  <c r="F33" i="175"/>
  <c r="X16" i="144"/>
  <c r="X13" i="144"/>
  <c r="X20" i="144"/>
  <c r="F28" i="122"/>
  <c r="J19" i="144"/>
  <c r="J8" i="144"/>
  <c r="J10" i="144"/>
  <c r="J7" i="144"/>
  <c r="G11" i="169"/>
  <c r="G9" i="169"/>
  <c r="G10" i="169"/>
  <c r="G12" i="169"/>
  <c r="G28" i="169"/>
  <c r="G30" i="169"/>
  <c r="G31" i="169"/>
  <c r="J17" i="144"/>
  <c r="E39" i="122"/>
  <c r="E34" i="122"/>
  <c r="E35" i="122"/>
  <c r="F40" i="122"/>
  <c r="J18" i="144"/>
  <c r="J14" i="144"/>
  <c r="F19" i="155"/>
  <c r="H19" i="155"/>
  <c r="L19" i="155"/>
  <c r="J15" i="144"/>
  <c r="J16" i="144"/>
  <c r="J13" i="144"/>
  <c r="I53" i="144"/>
  <c r="J53" i="144"/>
  <c r="K53" i="144"/>
  <c r="L53" i="144"/>
  <c r="M53" i="144"/>
  <c r="N53" i="144"/>
  <c r="O53" i="144"/>
  <c r="P53" i="144"/>
  <c r="Q53" i="144"/>
  <c r="R53" i="144"/>
  <c r="S53" i="144"/>
  <c r="I8" i="144"/>
  <c r="I10" i="144"/>
  <c r="I7" i="144"/>
  <c r="F11" i="169"/>
  <c r="F9" i="169"/>
  <c r="F10" i="169"/>
  <c r="F12" i="169"/>
  <c r="F30" i="169"/>
  <c r="F31" i="169"/>
  <c r="I17" i="144"/>
  <c r="I16" i="144"/>
  <c r="I14" i="144"/>
  <c r="E28" i="122"/>
  <c r="I19" i="144"/>
  <c r="I13" i="144"/>
  <c r="I20" i="144"/>
  <c r="I23" i="144"/>
  <c r="I24" i="144"/>
  <c r="F127" i="175"/>
  <c r="F128" i="175"/>
  <c r="F157" i="175"/>
  <c r="F129" i="175"/>
  <c r="F130" i="175"/>
  <c r="F203" i="175"/>
  <c r="F209" i="175"/>
  <c r="F213" i="175"/>
  <c r="F131" i="175"/>
  <c r="F176" i="175"/>
  <c r="F215" i="175"/>
  <c r="F132" i="175"/>
  <c r="F133" i="175"/>
  <c r="F134" i="175"/>
  <c r="F126" i="175"/>
  <c r="F135" i="175"/>
  <c r="F138" i="175"/>
  <c r="F139" i="175"/>
  <c r="F124" i="175"/>
  <c r="F141" i="175"/>
  <c r="F122" i="175"/>
  <c r="F142" i="175"/>
  <c r="F143" i="175"/>
  <c r="F145" i="175"/>
  <c r="F146" i="175"/>
  <c r="F113" i="175"/>
  <c r="F112" i="175"/>
  <c r="E14" i="143"/>
  <c r="C13" i="143"/>
  <c r="E15" i="143"/>
  <c r="E16" i="143"/>
  <c r="I28" i="144"/>
  <c r="I26" i="144"/>
  <c r="I29" i="144"/>
  <c r="I30" i="144"/>
  <c r="I31" i="144"/>
  <c r="I32" i="144"/>
  <c r="I54" i="144"/>
  <c r="I55" i="144"/>
  <c r="J20" i="144"/>
  <c r="J23" i="144"/>
  <c r="J24" i="144"/>
  <c r="F15" i="143"/>
  <c r="F16" i="143"/>
  <c r="J28" i="144"/>
  <c r="J30" i="144"/>
  <c r="J31" i="144"/>
  <c r="J32" i="144"/>
  <c r="J55" i="144"/>
  <c r="K8" i="144"/>
  <c r="K10" i="144"/>
  <c r="K7" i="144"/>
  <c r="H11" i="169"/>
  <c r="H9" i="169"/>
  <c r="H10" i="169"/>
  <c r="H12" i="169"/>
  <c r="H28" i="169"/>
  <c r="H30" i="169"/>
  <c r="H31" i="169"/>
  <c r="K17" i="144"/>
  <c r="F39" i="122"/>
  <c r="F34" i="122"/>
  <c r="F35" i="122"/>
  <c r="G40" i="122"/>
  <c r="K18" i="144"/>
  <c r="K16" i="144"/>
  <c r="G28" i="122"/>
  <c r="K19" i="144"/>
  <c r="K14" i="144"/>
  <c r="F20" i="155"/>
  <c r="H20" i="155"/>
  <c r="L20" i="155"/>
  <c r="K15" i="144"/>
  <c r="K13" i="144"/>
  <c r="K20" i="144"/>
  <c r="K23" i="144"/>
  <c r="K24" i="144"/>
  <c r="G15" i="143"/>
  <c r="G16" i="143"/>
  <c r="K28" i="144"/>
  <c r="K30" i="144"/>
  <c r="K31" i="144"/>
  <c r="K32" i="144"/>
  <c r="K55" i="144"/>
  <c r="L8" i="144"/>
  <c r="L10" i="144"/>
  <c r="L7" i="144"/>
  <c r="I11" i="169"/>
  <c r="I9" i="169"/>
  <c r="I10" i="169"/>
  <c r="I12" i="169"/>
  <c r="I28" i="169"/>
  <c r="I30" i="169"/>
  <c r="I31" i="169"/>
  <c r="L17" i="144"/>
  <c r="G39" i="122"/>
  <c r="G34" i="122"/>
  <c r="G35" i="122"/>
  <c r="H40" i="122"/>
  <c r="L18" i="144"/>
  <c r="L16" i="144"/>
  <c r="H28" i="122"/>
  <c r="L19" i="144"/>
  <c r="L14" i="144"/>
  <c r="F21" i="155"/>
  <c r="H21" i="155"/>
  <c r="L21" i="155"/>
  <c r="L15" i="144"/>
  <c r="L13" i="144"/>
  <c r="L20" i="144"/>
  <c r="L23" i="144"/>
  <c r="L24" i="144"/>
  <c r="H15" i="143"/>
  <c r="H16" i="143"/>
  <c r="L28" i="144"/>
  <c r="L30" i="144"/>
  <c r="L31" i="144"/>
  <c r="L32" i="144"/>
  <c r="L55" i="144"/>
  <c r="M8" i="144"/>
  <c r="M10" i="144"/>
  <c r="M7" i="144"/>
  <c r="J11" i="169"/>
  <c r="J9" i="169"/>
  <c r="J10" i="169"/>
  <c r="J12" i="169"/>
  <c r="J28" i="169"/>
  <c r="J30" i="169"/>
  <c r="J31" i="169"/>
  <c r="M17" i="144"/>
  <c r="H39" i="122"/>
  <c r="H35" i="122"/>
  <c r="I40" i="122"/>
  <c r="M18" i="144"/>
  <c r="M16" i="144"/>
  <c r="I28" i="122"/>
  <c r="M19" i="144"/>
  <c r="M14" i="144"/>
  <c r="F22" i="155"/>
  <c r="G22" i="155"/>
  <c r="H22" i="155"/>
  <c r="L22" i="155"/>
  <c r="M15" i="144"/>
  <c r="M13" i="144"/>
  <c r="M20" i="144"/>
  <c r="M23" i="144"/>
  <c r="M24" i="144"/>
  <c r="I15" i="143"/>
  <c r="I16" i="143"/>
  <c r="M28" i="144"/>
  <c r="M30" i="144"/>
  <c r="M31" i="144"/>
  <c r="M32" i="144"/>
  <c r="M55" i="144"/>
  <c r="N8" i="144"/>
  <c r="N10" i="144"/>
  <c r="N7" i="144"/>
  <c r="K11" i="169"/>
  <c r="K9" i="169"/>
  <c r="K10" i="169"/>
  <c r="K12" i="169"/>
  <c r="K28" i="169"/>
  <c r="K30" i="169"/>
  <c r="K31" i="169"/>
  <c r="N17" i="144"/>
  <c r="I39" i="122"/>
  <c r="I35" i="122"/>
  <c r="J40" i="122"/>
  <c r="N18" i="144"/>
  <c r="N16" i="144"/>
  <c r="J28" i="122"/>
  <c r="N19" i="144"/>
  <c r="N14" i="144"/>
  <c r="F23" i="155"/>
  <c r="H23" i="155"/>
  <c r="L23" i="155"/>
  <c r="N15" i="144"/>
  <c r="N13" i="144"/>
  <c r="N20" i="144"/>
  <c r="N23" i="144"/>
  <c r="N24" i="144"/>
  <c r="J15" i="143"/>
  <c r="J16" i="143"/>
  <c r="N28" i="144"/>
  <c r="N30" i="144"/>
  <c r="N31" i="144"/>
  <c r="N32" i="144"/>
  <c r="N55" i="144"/>
  <c r="O8" i="144"/>
  <c r="O10" i="144"/>
  <c r="O7" i="144"/>
  <c r="L11" i="169"/>
  <c r="L9" i="169"/>
  <c r="L10" i="169"/>
  <c r="L12" i="169"/>
  <c r="L28" i="169"/>
  <c r="L30" i="169"/>
  <c r="L31" i="169"/>
  <c r="O17" i="144"/>
  <c r="J39" i="122"/>
  <c r="J35" i="122"/>
  <c r="K40" i="122"/>
  <c r="O18" i="144"/>
  <c r="O16" i="144"/>
  <c r="K28" i="122"/>
  <c r="O19" i="144"/>
  <c r="O14" i="144"/>
  <c r="F24" i="155"/>
  <c r="G24" i="155"/>
  <c r="H24" i="155"/>
  <c r="L24" i="155"/>
  <c r="O15" i="144"/>
  <c r="O13" i="144"/>
  <c r="O20" i="144"/>
  <c r="O23" i="144"/>
  <c r="O24" i="144"/>
  <c r="K15" i="143"/>
  <c r="K16" i="143"/>
  <c r="O28" i="144"/>
  <c r="O30" i="144"/>
  <c r="O31" i="144"/>
  <c r="O32" i="144"/>
  <c r="O55" i="144"/>
  <c r="P8" i="144"/>
  <c r="P10" i="144"/>
  <c r="P7" i="144"/>
  <c r="M11" i="169"/>
  <c r="M9" i="169"/>
  <c r="M10" i="169"/>
  <c r="M12" i="169"/>
  <c r="M28" i="169"/>
  <c r="M30" i="169"/>
  <c r="M31" i="169"/>
  <c r="P17" i="144"/>
  <c r="K39" i="122"/>
  <c r="K35" i="122"/>
  <c r="L40" i="122"/>
  <c r="P18" i="144"/>
  <c r="P16" i="144"/>
  <c r="L28" i="122"/>
  <c r="P19" i="144"/>
  <c r="P14" i="144"/>
  <c r="F25" i="155"/>
  <c r="H25" i="155"/>
  <c r="L25" i="155"/>
  <c r="P15" i="144"/>
  <c r="P13" i="144"/>
  <c r="P20" i="144"/>
  <c r="P23" i="144"/>
  <c r="P24" i="144"/>
  <c r="L15" i="143"/>
  <c r="L16" i="143"/>
  <c r="P28" i="144"/>
  <c r="P30" i="144"/>
  <c r="P31" i="144"/>
  <c r="P32" i="144"/>
  <c r="P55" i="144"/>
  <c r="Q8" i="144"/>
  <c r="Q10" i="144"/>
  <c r="Q7" i="144"/>
  <c r="N11" i="169"/>
  <c r="N9" i="169"/>
  <c r="N10" i="169"/>
  <c r="N12" i="169"/>
  <c r="N28" i="169"/>
  <c r="N30" i="169"/>
  <c r="N31" i="169"/>
  <c r="Q17" i="144"/>
  <c r="L39" i="122"/>
  <c r="L35" i="122"/>
  <c r="M40" i="122"/>
  <c r="Q18" i="144"/>
  <c r="Q16" i="144"/>
  <c r="M28" i="122"/>
  <c r="Q19" i="144"/>
  <c r="Q14" i="144"/>
  <c r="F26" i="155"/>
  <c r="G26" i="155"/>
  <c r="H26" i="155"/>
  <c r="L26" i="155"/>
  <c r="Q15" i="144"/>
  <c r="Q13" i="144"/>
  <c r="Q20" i="144"/>
  <c r="Q23" i="144"/>
  <c r="Q24" i="144"/>
  <c r="M15" i="143"/>
  <c r="M16" i="143"/>
  <c r="Q28" i="144"/>
  <c r="Q30" i="144"/>
  <c r="Q31" i="144"/>
  <c r="Q32" i="144"/>
  <c r="Q55" i="144"/>
  <c r="R8" i="144"/>
  <c r="R10" i="144"/>
  <c r="R7" i="144"/>
  <c r="O11" i="169"/>
  <c r="O9" i="169"/>
  <c r="O10" i="169"/>
  <c r="O12" i="169"/>
  <c r="O28" i="169"/>
  <c r="O30" i="169"/>
  <c r="O31" i="169"/>
  <c r="R17" i="144"/>
  <c r="M39" i="122"/>
  <c r="M35" i="122"/>
  <c r="N40" i="122"/>
  <c r="R18" i="144"/>
  <c r="R16" i="144"/>
  <c r="N28" i="122"/>
  <c r="R19" i="144"/>
  <c r="R14" i="144"/>
  <c r="F27" i="155"/>
  <c r="H27" i="155"/>
  <c r="L27" i="155"/>
  <c r="R15" i="144"/>
  <c r="R13" i="144"/>
  <c r="R20" i="144"/>
  <c r="R23" i="144"/>
  <c r="R24" i="144"/>
  <c r="N15" i="143"/>
  <c r="N16" i="143"/>
  <c r="R28" i="144"/>
  <c r="R30" i="144"/>
  <c r="R31" i="144"/>
  <c r="R32" i="144"/>
  <c r="R55" i="144"/>
  <c r="S8" i="144"/>
  <c r="S10" i="144"/>
  <c r="S7" i="144"/>
  <c r="P11" i="169"/>
  <c r="P9" i="169"/>
  <c r="P10" i="169"/>
  <c r="P12" i="169"/>
  <c r="P28" i="169"/>
  <c r="P30" i="169"/>
  <c r="P31" i="169"/>
  <c r="S17" i="144"/>
  <c r="N39" i="122"/>
  <c r="N35" i="122"/>
  <c r="O40" i="122"/>
  <c r="S18" i="144"/>
  <c r="S16" i="144"/>
  <c r="O28" i="122"/>
  <c r="S19" i="144"/>
  <c r="S14" i="144"/>
  <c r="F28" i="155"/>
  <c r="G28" i="155"/>
  <c r="H28" i="155"/>
  <c r="L28" i="155"/>
  <c r="S15" i="144"/>
  <c r="S13" i="144"/>
  <c r="S20" i="144"/>
  <c r="S23" i="144"/>
  <c r="S24" i="144"/>
  <c r="O15" i="143"/>
  <c r="O16" i="143"/>
  <c r="S28" i="144"/>
  <c r="S30" i="144"/>
  <c r="S31" i="144"/>
  <c r="S32" i="144"/>
  <c r="S55" i="144"/>
  <c r="J54" i="144"/>
  <c r="K54" i="144"/>
  <c r="L54" i="144"/>
  <c r="M54" i="144"/>
  <c r="N54" i="144"/>
  <c r="O54" i="144"/>
  <c r="P54" i="144"/>
  <c r="Q54" i="144"/>
  <c r="R54" i="144"/>
  <c r="S54" i="144"/>
  <c r="S52" i="144"/>
  <c r="S77" i="144"/>
  <c r="S76" i="144"/>
  <c r="S47" i="144"/>
  <c r="S48" i="144"/>
  <c r="E17" i="143"/>
  <c r="F17" i="143"/>
  <c r="G17" i="143"/>
  <c r="H17" i="143"/>
  <c r="I17" i="143"/>
  <c r="J17" i="143"/>
  <c r="K17" i="143"/>
  <c r="L17" i="143"/>
  <c r="M17" i="143"/>
  <c r="N17" i="143"/>
  <c r="O17" i="143"/>
  <c r="S51" i="144"/>
  <c r="S44" i="144"/>
  <c r="I73" i="144"/>
  <c r="I58" i="144"/>
  <c r="E29" i="122"/>
  <c r="I64" i="144"/>
  <c r="I77" i="144"/>
  <c r="I76" i="144"/>
  <c r="I47" i="144"/>
  <c r="I48" i="144"/>
  <c r="I40" i="144"/>
  <c r="F13" i="169"/>
  <c r="G13" i="169"/>
  <c r="H13" i="169"/>
  <c r="I13" i="169"/>
  <c r="J13" i="169"/>
  <c r="K13" i="169"/>
  <c r="L13" i="169"/>
  <c r="M13" i="169"/>
  <c r="N13" i="169"/>
  <c r="O13" i="169"/>
  <c r="P13" i="169"/>
  <c r="T8" i="144"/>
  <c r="T10" i="144"/>
  <c r="T7" i="144"/>
  <c r="Q11" i="169"/>
  <c r="Q9" i="169"/>
  <c r="Q10" i="169"/>
  <c r="Q12" i="169"/>
  <c r="Q13" i="169"/>
  <c r="U8" i="144"/>
  <c r="U10" i="144"/>
  <c r="U7" i="144"/>
  <c r="R11" i="169"/>
  <c r="R9" i="169"/>
  <c r="R10" i="169"/>
  <c r="R12" i="169"/>
  <c r="R13" i="169"/>
  <c r="V8" i="144"/>
  <c r="V10" i="144"/>
  <c r="V7" i="144"/>
  <c r="S11" i="169"/>
  <c r="S9" i="169"/>
  <c r="S10" i="169"/>
  <c r="S12" i="169"/>
  <c r="S13" i="169"/>
  <c r="W8" i="144"/>
  <c r="W10" i="144"/>
  <c r="W7" i="144"/>
  <c r="T11" i="169"/>
  <c r="T9" i="169"/>
  <c r="T10" i="169"/>
  <c r="T12" i="169"/>
  <c r="T13" i="169"/>
  <c r="U13" i="169"/>
  <c r="Y8" i="144"/>
  <c r="Y10" i="144"/>
  <c r="Y7" i="144"/>
  <c r="V11" i="169"/>
  <c r="U4" i="169"/>
  <c r="V9" i="169"/>
  <c r="U5" i="169"/>
  <c r="V10" i="169"/>
  <c r="V12" i="169"/>
  <c r="V13" i="169"/>
  <c r="Z8" i="144"/>
  <c r="Z10" i="144"/>
  <c r="Z7" i="144"/>
  <c r="W11" i="169"/>
  <c r="V4" i="169"/>
  <c r="W9" i="169"/>
  <c r="V5" i="169"/>
  <c r="W10" i="169"/>
  <c r="W12" i="169"/>
  <c r="W13" i="169"/>
  <c r="AA8" i="144"/>
  <c r="AA10" i="144"/>
  <c r="AA7" i="144"/>
  <c r="X11" i="169"/>
  <c r="W4" i="169"/>
  <c r="X9" i="169"/>
  <c r="W5" i="169"/>
  <c r="X10" i="169"/>
  <c r="X12" i="169"/>
  <c r="X13" i="169"/>
  <c r="AB8" i="144"/>
  <c r="AB10" i="144"/>
  <c r="AB7" i="144"/>
  <c r="Y11" i="169"/>
  <c r="X4" i="169"/>
  <c r="Y9" i="169"/>
  <c r="X5" i="169"/>
  <c r="Y10" i="169"/>
  <c r="Y12" i="169"/>
  <c r="Y13" i="169"/>
  <c r="F32" i="169"/>
  <c r="G32" i="169"/>
  <c r="H32" i="169"/>
  <c r="I32" i="169"/>
  <c r="J32" i="169"/>
  <c r="K32" i="169"/>
  <c r="L32" i="169"/>
  <c r="M32" i="169"/>
  <c r="N32" i="169"/>
  <c r="O32" i="169"/>
  <c r="P32" i="169"/>
  <c r="Q28" i="169"/>
  <c r="Q30" i="169"/>
  <c r="Q31" i="169"/>
  <c r="Q32" i="169"/>
  <c r="R28" i="169"/>
  <c r="R30" i="169"/>
  <c r="R31" i="169"/>
  <c r="R32" i="169"/>
  <c r="S28" i="169"/>
  <c r="S30" i="169"/>
  <c r="S31" i="169"/>
  <c r="S32" i="169"/>
  <c r="T28" i="169"/>
  <c r="T30" i="169"/>
  <c r="T31" i="169"/>
  <c r="T32" i="169"/>
  <c r="U32" i="169"/>
  <c r="V28" i="169"/>
  <c r="V30" i="169"/>
  <c r="V31" i="169"/>
  <c r="V32" i="169"/>
  <c r="W28" i="169"/>
  <c r="W30" i="169"/>
  <c r="W31" i="169"/>
  <c r="W32" i="169"/>
  <c r="X28" i="169"/>
  <c r="X30" i="169"/>
  <c r="X31" i="169"/>
  <c r="X32" i="169"/>
  <c r="Y28" i="169"/>
  <c r="Y30" i="169"/>
  <c r="Y31" i="169"/>
  <c r="Y32" i="169"/>
  <c r="I41" i="144"/>
  <c r="I39" i="144"/>
  <c r="I61" i="144"/>
  <c r="I60" i="144"/>
  <c r="I59" i="144"/>
  <c r="I62" i="144"/>
  <c r="I68" i="144"/>
  <c r="I70" i="144"/>
  <c r="I71" i="144"/>
  <c r="I65" i="144"/>
  <c r="I72" i="144"/>
  <c r="I74" i="144"/>
  <c r="J73" i="144"/>
  <c r="J58" i="144"/>
  <c r="J77" i="144"/>
  <c r="J76" i="144"/>
  <c r="J47" i="144"/>
  <c r="J48" i="144"/>
  <c r="J40" i="144"/>
  <c r="J41" i="144"/>
  <c r="J39" i="144"/>
  <c r="J61" i="144"/>
  <c r="J59" i="144"/>
  <c r="J62" i="144"/>
  <c r="J70" i="144"/>
  <c r="J71" i="144"/>
  <c r="J72" i="144"/>
  <c r="J74" i="144"/>
  <c r="K73" i="144"/>
  <c r="K58" i="144"/>
  <c r="K77" i="144"/>
  <c r="K76" i="144"/>
  <c r="K47" i="144"/>
  <c r="K48" i="144"/>
  <c r="K40" i="144"/>
  <c r="K41" i="144"/>
  <c r="K39" i="144"/>
  <c r="K61" i="144"/>
  <c r="K59" i="144"/>
  <c r="K62" i="144"/>
  <c r="K70" i="144"/>
  <c r="K71" i="144"/>
  <c r="K72" i="144"/>
  <c r="K74" i="144"/>
  <c r="L73" i="144"/>
  <c r="L58" i="144"/>
  <c r="L77" i="144"/>
  <c r="L76" i="144"/>
  <c r="L47" i="144"/>
  <c r="L48" i="144"/>
  <c r="L40" i="144"/>
  <c r="L41" i="144"/>
  <c r="L39" i="144"/>
  <c r="L61" i="144"/>
  <c r="L59" i="144"/>
  <c r="L62" i="144"/>
  <c r="L70" i="144"/>
  <c r="L71" i="144"/>
  <c r="L72" i="144"/>
  <c r="L74" i="144"/>
  <c r="M73" i="144"/>
  <c r="M58" i="144"/>
  <c r="M77" i="144"/>
  <c r="M76" i="144"/>
  <c r="M47" i="144"/>
  <c r="M48" i="144"/>
  <c r="M40" i="144"/>
  <c r="M41" i="144"/>
  <c r="M39" i="144"/>
  <c r="M61" i="144"/>
  <c r="M59" i="144"/>
  <c r="M62" i="144"/>
  <c r="M70" i="144"/>
  <c r="M71" i="144"/>
  <c r="M72" i="144"/>
  <c r="M74" i="144"/>
  <c r="N73" i="144"/>
  <c r="N58" i="144"/>
  <c r="N77" i="144"/>
  <c r="N76" i="144"/>
  <c r="N47" i="144"/>
  <c r="N48" i="144"/>
  <c r="N40" i="144"/>
  <c r="N41" i="144"/>
  <c r="N39" i="144"/>
  <c r="N61" i="144"/>
  <c r="N59" i="144"/>
  <c r="N62" i="144"/>
  <c r="N70" i="144"/>
  <c r="N71" i="144"/>
  <c r="N72" i="144"/>
  <c r="N74" i="144"/>
  <c r="O73" i="144"/>
  <c r="O58" i="144"/>
  <c r="O77" i="144"/>
  <c r="O76" i="144"/>
  <c r="O47" i="144"/>
  <c r="O48" i="144"/>
  <c r="O40" i="144"/>
  <c r="O41" i="144"/>
  <c r="O39" i="144"/>
  <c r="O61" i="144"/>
  <c r="O59" i="144"/>
  <c r="O62" i="144"/>
  <c r="O70" i="144"/>
  <c r="O71" i="144"/>
  <c r="O72" i="144"/>
  <c r="O74" i="144"/>
  <c r="P73" i="144"/>
  <c r="P58" i="144"/>
  <c r="P77" i="144"/>
  <c r="P76" i="144"/>
  <c r="P47" i="144"/>
  <c r="P48" i="144"/>
  <c r="P40" i="144"/>
  <c r="P41" i="144"/>
  <c r="P39" i="144"/>
  <c r="P61" i="144"/>
  <c r="P59" i="144"/>
  <c r="P62" i="144"/>
  <c r="P70" i="144"/>
  <c r="P71" i="144"/>
  <c r="P72" i="144"/>
  <c r="P74" i="144"/>
  <c r="Q73" i="144"/>
  <c r="Q58" i="144"/>
  <c r="Q77" i="144"/>
  <c r="Q76" i="144"/>
  <c r="Q47" i="144"/>
  <c r="Q48" i="144"/>
  <c r="Q40" i="144"/>
  <c r="Q41" i="144"/>
  <c r="Q39" i="144"/>
  <c r="Q61" i="144"/>
  <c r="Q59" i="144"/>
  <c r="Q62" i="144"/>
  <c r="Q70" i="144"/>
  <c r="Q71" i="144"/>
  <c r="Q72" i="144"/>
  <c r="Q74" i="144"/>
  <c r="R73" i="144"/>
  <c r="R58" i="144"/>
  <c r="R77" i="144"/>
  <c r="R76" i="144"/>
  <c r="R47" i="144"/>
  <c r="R48" i="144"/>
  <c r="R40" i="144"/>
  <c r="R41" i="144"/>
  <c r="R39" i="144"/>
  <c r="R61" i="144"/>
  <c r="R59" i="144"/>
  <c r="R62" i="144"/>
  <c r="R70" i="144"/>
  <c r="R71" i="144"/>
  <c r="R72" i="144"/>
  <c r="R74" i="144"/>
  <c r="S73" i="144"/>
  <c r="S58" i="144"/>
  <c r="S40" i="144"/>
  <c r="S41" i="144"/>
  <c r="S39" i="144"/>
  <c r="S61" i="144"/>
  <c r="S59" i="144"/>
  <c r="S62" i="144"/>
  <c r="S70" i="144"/>
  <c r="S71" i="144"/>
  <c r="S72" i="144"/>
  <c r="S74" i="144"/>
  <c r="S38" i="144"/>
  <c r="O27" i="122"/>
  <c r="S43" i="144"/>
  <c r="S36" i="144"/>
  <c r="T16" i="144"/>
  <c r="U16" i="144"/>
  <c r="V16" i="144"/>
  <c r="W16" i="144"/>
  <c r="Y16" i="144"/>
  <c r="Z16" i="144"/>
  <c r="AA16" i="144"/>
  <c r="AB16" i="144"/>
  <c r="C10" i="122"/>
  <c r="E5" i="122"/>
  <c r="I18" i="144"/>
  <c r="E4" i="122"/>
  <c r="F4" i="122"/>
  <c r="E11" i="122"/>
  <c r="J3" i="144"/>
  <c r="J52" i="144"/>
  <c r="I22" i="144"/>
  <c r="I52" i="144"/>
  <c r="D31" i="122"/>
  <c r="C35" i="122"/>
  <c r="D35" i="122"/>
  <c r="J22" i="144"/>
  <c r="T54" i="144"/>
  <c r="U54" i="144"/>
  <c r="V54" i="144"/>
  <c r="W54" i="144"/>
  <c r="X54" i="144"/>
  <c r="Y54" i="144"/>
  <c r="Z54" i="144"/>
  <c r="AA54" i="144"/>
  <c r="AB54" i="144"/>
  <c r="I49" i="144"/>
  <c r="I51" i="144"/>
  <c r="I44" i="144"/>
  <c r="K3" i="144"/>
  <c r="L3" i="144"/>
  <c r="M3" i="144"/>
  <c r="N3" i="144"/>
  <c r="O3" i="144"/>
  <c r="P3" i="144"/>
  <c r="Q3" i="144"/>
  <c r="R3" i="144"/>
  <c r="S3" i="144"/>
  <c r="T3" i="144"/>
  <c r="U3" i="144"/>
  <c r="V3" i="144"/>
  <c r="W3" i="144"/>
  <c r="X3" i="144"/>
  <c r="Y3" i="144"/>
  <c r="Z3" i="144"/>
  <c r="AA3" i="144"/>
  <c r="AB3" i="144"/>
  <c r="I67" i="144"/>
  <c r="I38" i="144"/>
  <c r="E27" i="122"/>
  <c r="I43" i="144"/>
  <c r="I36" i="144"/>
  <c r="C9" i="122"/>
  <c r="C11" i="122"/>
  <c r="G4" i="122"/>
  <c r="H4" i="122"/>
  <c r="I4" i="122"/>
  <c r="J4" i="122"/>
  <c r="K4" i="122"/>
  <c r="L4" i="122"/>
  <c r="M4" i="122"/>
  <c r="N4" i="122"/>
  <c r="O4" i="122"/>
  <c r="P4" i="122"/>
  <c r="P14" i="122"/>
  <c r="Q4" i="122"/>
  <c r="Q14" i="122"/>
  <c r="R4" i="122"/>
  <c r="R14" i="122"/>
  <c r="S4" i="122"/>
  <c r="S14" i="122"/>
  <c r="U15" i="122"/>
  <c r="T4" i="122"/>
  <c r="T12" i="122"/>
  <c r="T17" i="122"/>
  <c r="U16" i="122"/>
  <c r="V15" i="122"/>
  <c r="U4" i="122"/>
  <c r="U12" i="122"/>
  <c r="U17" i="122"/>
  <c r="V16" i="122"/>
  <c r="W15" i="122"/>
  <c r="V4" i="122"/>
  <c r="V12" i="122"/>
  <c r="V17" i="122"/>
  <c r="W16" i="122"/>
  <c r="X15" i="122"/>
  <c r="W4" i="122"/>
  <c r="W12" i="122"/>
  <c r="W17" i="122"/>
  <c r="X16" i="122"/>
  <c r="X4" i="122"/>
  <c r="X12" i="122"/>
  <c r="X17" i="122"/>
  <c r="T26" i="122"/>
  <c r="U21" i="122"/>
  <c r="U23" i="122"/>
  <c r="U24" i="122"/>
  <c r="U25" i="122"/>
  <c r="U26" i="122"/>
  <c r="V21" i="122"/>
  <c r="V23" i="122"/>
  <c r="V24" i="122"/>
  <c r="V25" i="122"/>
  <c r="V26" i="122"/>
  <c r="W21" i="122"/>
  <c r="W23" i="122"/>
  <c r="W24" i="122"/>
  <c r="W25" i="122"/>
  <c r="W26" i="122"/>
  <c r="X21" i="122"/>
  <c r="X23" i="122"/>
  <c r="X24" i="122"/>
  <c r="X25" i="122"/>
  <c r="X26" i="122"/>
  <c r="G80" i="122"/>
  <c r="G86" i="122"/>
  <c r="H86" i="122"/>
  <c r="G82" i="122"/>
  <c r="G83" i="122"/>
  <c r="I86" i="122"/>
  <c r="J86" i="122"/>
  <c r="G87" i="122"/>
  <c r="H87" i="122"/>
  <c r="I87" i="122"/>
  <c r="J87" i="122"/>
  <c r="G88" i="122"/>
  <c r="H88" i="122"/>
  <c r="I88" i="122"/>
  <c r="J88" i="122"/>
  <c r="G89" i="122"/>
  <c r="H89" i="122"/>
  <c r="I89" i="122"/>
  <c r="J89" i="122"/>
  <c r="G90" i="122"/>
  <c r="H90" i="122"/>
  <c r="I90" i="122"/>
  <c r="J90" i="122"/>
  <c r="G91" i="122"/>
  <c r="H91" i="122"/>
  <c r="I91" i="122"/>
  <c r="J91" i="122"/>
  <c r="G92" i="122"/>
  <c r="H92" i="122"/>
  <c r="I92" i="122"/>
  <c r="J92" i="122"/>
  <c r="G93" i="122"/>
  <c r="H93" i="122"/>
  <c r="I93" i="122"/>
  <c r="J93" i="122"/>
  <c r="G94" i="122"/>
  <c r="H94" i="122"/>
  <c r="I94" i="122"/>
  <c r="J94" i="122"/>
  <c r="G95" i="122"/>
  <c r="H95" i="122"/>
  <c r="I95" i="122"/>
  <c r="J95" i="122"/>
  <c r="G96" i="122"/>
  <c r="H96" i="122"/>
  <c r="I96" i="122"/>
  <c r="G81" i="122"/>
  <c r="J96" i="122"/>
  <c r="G97" i="122"/>
  <c r="H97" i="122"/>
  <c r="I97" i="122"/>
  <c r="J97" i="122"/>
  <c r="G98" i="122"/>
  <c r="H98" i="122"/>
  <c r="I98" i="122"/>
  <c r="J98" i="122"/>
  <c r="G99" i="122"/>
  <c r="H99" i="122"/>
  <c r="I99" i="122"/>
  <c r="J99" i="122"/>
  <c r="G100" i="122"/>
  <c r="H100" i="122"/>
  <c r="I100" i="122"/>
  <c r="J100" i="122"/>
  <c r="G101" i="122"/>
  <c r="H101" i="122"/>
  <c r="I101" i="122"/>
  <c r="J101" i="122"/>
  <c r="G102" i="122"/>
  <c r="H102" i="122"/>
  <c r="I102" i="122"/>
  <c r="J102" i="122"/>
  <c r="G103" i="122"/>
  <c r="H103" i="122"/>
  <c r="I103" i="122"/>
  <c r="J103" i="122"/>
  <c r="G104" i="122"/>
  <c r="H104" i="122"/>
  <c r="I104" i="122"/>
  <c r="J104" i="122"/>
  <c r="G105" i="122"/>
  <c r="H105" i="122"/>
  <c r="I105" i="122"/>
  <c r="J105" i="122"/>
  <c r="G106" i="122"/>
  <c r="H106" i="122"/>
  <c r="I106" i="122"/>
  <c r="J106" i="122"/>
  <c r="G107" i="122"/>
  <c r="H107" i="122"/>
  <c r="I107" i="122"/>
  <c r="J107" i="122"/>
  <c r="G108" i="122"/>
  <c r="H108" i="122"/>
  <c r="I108" i="122"/>
  <c r="J108" i="122"/>
  <c r="G109" i="122"/>
  <c r="H109" i="122"/>
  <c r="I109" i="122"/>
  <c r="I110" i="122"/>
  <c r="J109" i="122"/>
  <c r="J110" i="122"/>
  <c r="K86" i="122"/>
  <c r="K87" i="122"/>
  <c r="K88" i="122"/>
  <c r="K89" i="122"/>
  <c r="K90" i="122"/>
  <c r="K91" i="122"/>
  <c r="K92" i="122"/>
  <c r="K93" i="122"/>
  <c r="K94" i="122"/>
  <c r="K95" i="122"/>
  <c r="K96" i="122"/>
  <c r="K97" i="122"/>
  <c r="K98" i="122"/>
  <c r="K99" i="122"/>
  <c r="K100" i="122"/>
  <c r="K101" i="122"/>
  <c r="K102" i="122"/>
  <c r="K103" i="122"/>
  <c r="K104" i="122"/>
  <c r="K105" i="122"/>
  <c r="K106" i="122"/>
  <c r="K107" i="122"/>
  <c r="K108" i="122"/>
  <c r="K109" i="122"/>
  <c r="G110" i="122"/>
  <c r="H110" i="122"/>
  <c r="K110" i="122"/>
  <c r="G111" i="122"/>
  <c r="H111" i="122"/>
  <c r="I111" i="122"/>
  <c r="J111" i="122"/>
  <c r="K111" i="122"/>
  <c r="G112" i="122"/>
  <c r="H112" i="122"/>
  <c r="I112" i="122"/>
  <c r="J112" i="122"/>
  <c r="K112" i="122"/>
  <c r="G113" i="122"/>
  <c r="H113" i="122"/>
  <c r="I113" i="122"/>
  <c r="J113" i="122"/>
  <c r="K113" i="122"/>
  <c r="G114" i="122"/>
  <c r="H114" i="122"/>
  <c r="I114" i="122"/>
  <c r="J114" i="122"/>
  <c r="K114" i="122"/>
  <c r="G115" i="122"/>
  <c r="H115" i="122"/>
  <c r="I115" i="122"/>
  <c r="J115" i="122"/>
  <c r="K115" i="122"/>
  <c r="G116" i="122"/>
  <c r="H116" i="122"/>
  <c r="I116" i="122"/>
  <c r="J116" i="122"/>
  <c r="K116" i="122"/>
  <c r="G117" i="122"/>
  <c r="H117" i="122"/>
  <c r="I117" i="122"/>
  <c r="J117" i="122"/>
  <c r="K117" i="122"/>
  <c r="G118" i="122"/>
  <c r="H118" i="122"/>
  <c r="I118" i="122"/>
  <c r="J118" i="122"/>
  <c r="K118" i="122"/>
  <c r="G119" i="122"/>
  <c r="H119" i="122"/>
  <c r="I119" i="122"/>
  <c r="J119" i="122"/>
  <c r="K119" i="122"/>
  <c r="G120" i="122"/>
  <c r="H120" i="122"/>
  <c r="I120" i="122"/>
  <c r="J120" i="122"/>
  <c r="K120" i="122"/>
  <c r="G121" i="122"/>
  <c r="H121" i="122"/>
  <c r="I121" i="122"/>
  <c r="J121" i="122"/>
  <c r="K121" i="122"/>
  <c r="G122" i="122"/>
  <c r="H122" i="122"/>
  <c r="I122" i="122"/>
  <c r="J122" i="122"/>
  <c r="K122" i="122"/>
  <c r="G123" i="122"/>
  <c r="H123" i="122"/>
  <c r="I123" i="122"/>
  <c r="J123" i="122"/>
  <c r="K123" i="122"/>
  <c r="T5" i="122"/>
  <c r="U5" i="122"/>
  <c r="V5" i="122"/>
  <c r="W5" i="122"/>
  <c r="X5" i="122"/>
  <c r="G54" i="122"/>
  <c r="H54" i="122"/>
  <c r="G51" i="122"/>
  <c r="I54" i="122"/>
  <c r="J54" i="122"/>
  <c r="G55" i="122"/>
  <c r="H55" i="122"/>
  <c r="I55" i="122"/>
  <c r="J55" i="122"/>
  <c r="G56" i="122"/>
  <c r="H56" i="122"/>
  <c r="I56" i="122"/>
  <c r="J56" i="122"/>
  <c r="G57" i="122"/>
  <c r="H57" i="122"/>
  <c r="I57" i="122"/>
  <c r="J57" i="122"/>
  <c r="G58" i="122"/>
  <c r="H58" i="122"/>
  <c r="I58" i="122"/>
  <c r="J58" i="122"/>
  <c r="G59" i="122"/>
  <c r="H59" i="122"/>
  <c r="I59" i="122"/>
  <c r="J59" i="122"/>
  <c r="G60" i="122"/>
  <c r="H60" i="122"/>
  <c r="I60" i="122"/>
  <c r="J60" i="122"/>
  <c r="G61" i="122"/>
  <c r="H61" i="122"/>
  <c r="I61" i="122"/>
  <c r="J61" i="122"/>
  <c r="G62" i="122"/>
  <c r="H62" i="122"/>
  <c r="I62" i="122"/>
  <c r="J62" i="122"/>
  <c r="G63" i="122"/>
  <c r="H63" i="122"/>
  <c r="I63" i="122"/>
  <c r="J63" i="122"/>
  <c r="G64" i="122"/>
  <c r="H64" i="122"/>
  <c r="I64" i="122"/>
  <c r="J64" i="122"/>
  <c r="G65" i="122"/>
  <c r="H65" i="122"/>
  <c r="I65" i="122"/>
  <c r="J65" i="122"/>
  <c r="G66" i="122"/>
  <c r="H66" i="122"/>
  <c r="I66" i="122"/>
  <c r="J66" i="122"/>
  <c r="G67" i="122"/>
  <c r="H67" i="122"/>
  <c r="I67" i="122"/>
  <c r="J67" i="122"/>
  <c r="G68" i="122"/>
  <c r="H68" i="122"/>
  <c r="I68" i="122"/>
  <c r="I69" i="122"/>
  <c r="I70" i="122"/>
  <c r="I71" i="122"/>
  <c r="I72" i="122"/>
  <c r="I73" i="122"/>
  <c r="I74" i="122"/>
  <c r="I75" i="122"/>
  <c r="G79" i="122"/>
  <c r="K54" i="122"/>
  <c r="K55" i="122"/>
  <c r="J68" i="122"/>
  <c r="J69" i="122"/>
  <c r="J70" i="122"/>
  <c r="J71" i="122"/>
  <c r="J72" i="122"/>
  <c r="J73" i="122"/>
  <c r="G69" i="122"/>
  <c r="G70" i="122"/>
  <c r="G71" i="122"/>
  <c r="G72" i="122"/>
  <c r="U28" i="122"/>
  <c r="V28" i="122"/>
  <c r="U27" i="122"/>
  <c r="AB17" i="144"/>
  <c r="AB23" i="144"/>
  <c r="AB14" i="144"/>
  <c r="H37" i="155"/>
  <c r="F37" i="155"/>
  <c r="L37" i="155"/>
  <c r="AB15" i="144"/>
  <c r="AB22" i="144"/>
  <c r="AB77" i="144"/>
  <c r="AB76" i="144"/>
  <c r="AB47" i="144"/>
  <c r="T37" i="122"/>
  <c r="U37" i="122"/>
  <c r="V37" i="122"/>
  <c r="W37" i="122"/>
  <c r="W39" i="122"/>
  <c r="T33" i="122"/>
  <c r="U33" i="122"/>
  <c r="V33" i="122"/>
  <c r="W33" i="122"/>
  <c r="W35" i="122"/>
  <c r="X40" i="122"/>
  <c r="AB18" i="144"/>
  <c r="X28" i="122"/>
  <c r="AB19" i="144"/>
  <c r="AB13" i="144"/>
  <c r="AB20" i="144"/>
  <c r="AB24" i="144"/>
  <c r="X15" i="143"/>
  <c r="X16" i="143"/>
  <c r="AB28" i="144"/>
  <c r="AB30" i="144"/>
  <c r="AB31" i="144"/>
  <c r="AB48" i="144"/>
  <c r="AA17" i="144"/>
  <c r="AA23" i="144"/>
  <c r="AA14" i="144"/>
  <c r="H36" i="155"/>
  <c r="F36" i="155"/>
  <c r="G36" i="155"/>
  <c r="L36" i="155"/>
  <c r="AA15" i="144"/>
  <c r="AA22" i="144"/>
  <c r="AA77" i="144"/>
  <c r="AA76" i="144"/>
  <c r="AA47" i="144"/>
  <c r="V39" i="122"/>
  <c r="V35" i="122"/>
  <c r="W40" i="122"/>
  <c r="AA18" i="144"/>
  <c r="W28" i="122"/>
  <c r="AA19" i="144"/>
  <c r="AA13" i="144"/>
  <c r="AA20" i="144"/>
  <c r="AA24" i="144"/>
  <c r="W15" i="143"/>
  <c r="W16" i="143"/>
  <c r="AA28" i="144"/>
  <c r="AA30" i="144"/>
  <c r="AA31" i="144"/>
  <c r="AA48" i="144"/>
  <c r="AB40" i="144"/>
  <c r="T17" i="144"/>
  <c r="T41" i="144"/>
  <c r="U17" i="144"/>
  <c r="U41" i="144"/>
  <c r="V17" i="144"/>
  <c r="V41" i="144"/>
  <c r="W17" i="144"/>
  <c r="W41" i="144"/>
  <c r="X41" i="144"/>
  <c r="Y17" i="144"/>
  <c r="Y41" i="144"/>
  <c r="Z17" i="144"/>
  <c r="Z41" i="144"/>
  <c r="AA41" i="144"/>
  <c r="AB41" i="144"/>
  <c r="AA40" i="144"/>
  <c r="AB39" i="144"/>
  <c r="AA39" i="144"/>
  <c r="AB61" i="144"/>
  <c r="Z23" i="144"/>
  <c r="Z14" i="144"/>
  <c r="H35" i="155"/>
  <c r="F35" i="155"/>
  <c r="L35" i="155"/>
  <c r="Z15" i="144"/>
  <c r="Z22" i="144"/>
  <c r="Z77" i="144"/>
  <c r="Z76" i="144"/>
  <c r="Z47" i="144"/>
  <c r="U39" i="122"/>
  <c r="U35" i="122"/>
  <c r="V40" i="122"/>
  <c r="Z18" i="144"/>
  <c r="Z19" i="144"/>
  <c r="Z13" i="144"/>
  <c r="Z20" i="144"/>
  <c r="Z24" i="144"/>
  <c r="V15" i="143"/>
  <c r="V16" i="143"/>
  <c r="Z28" i="144"/>
  <c r="Z30" i="144"/>
  <c r="Z31" i="144"/>
  <c r="Z48" i="144"/>
  <c r="Z40" i="144"/>
  <c r="Z39" i="144"/>
  <c r="AA61" i="144"/>
  <c r="Y23" i="144"/>
  <c r="Y14" i="144"/>
  <c r="H34" i="155"/>
  <c r="F34" i="155"/>
  <c r="G34" i="155"/>
  <c r="L34" i="155"/>
  <c r="Y15" i="144"/>
  <c r="Y22" i="144"/>
  <c r="Y77" i="144"/>
  <c r="Y76" i="144"/>
  <c r="Y47" i="144"/>
  <c r="T39" i="122"/>
  <c r="T35" i="122"/>
  <c r="U40" i="122"/>
  <c r="Y18" i="144"/>
  <c r="Y19" i="144"/>
  <c r="Y13" i="144"/>
  <c r="Y20" i="144"/>
  <c r="Y24" i="144"/>
  <c r="U15" i="143"/>
  <c r="U16" i="143"/>
  <c r="Y28" i="144"/>
  <c r="Y30" i="144"/>
  <c r="Y31" i="144"/>
  <c r="Y48" i="144"/>
  <c r="Y40" i="144"/>
  <c r="Y39" i="144"/>
  <c r="Z61" i="144"/>
  <c r="X23" i="144"/>
  <c r="X22" i="144"/>
  <c r="X77" i="144"/>
  <c r="X76" i="144"/>
  <c r="X47" i="144"/>
  <c r="X24" i="144"/>
  <c r="T15" i="143"/>
  <c r="T16" i="143"/>
  <c r="X28" i="144"/>
  <c r="X30" i="144"/>
  <c r="X31" i="144"/>
  <c r="X48" i="144"/>
  <c r="X40" i="144"/>
  <c r="X39" i="144"/>
  <c r="Y61" i="144"/>
  <c r="W23" i="144"/>
  <c r="W14" i="144"/>
  <c r="H32" i="155"/>
  <c r="F32" i="155"/>
  <c r="G32" i="155"/>
  <c r="L32" i="155"/>
  <c r="W15" i="144"/>
  <c r="W22" i="144"/>
  <c r="W77" i="144"/>
  <c r="W76" i="144"/>
  <c r="W47" i="144"/>
  <c r="R39" i="122"/>
  <c r="R35" i="122"/>
  <c r="S40" i="122"/>
  <c r="W18" i="144"/>
  <c r="S28" i="122"/>
  <c r="W19" i="144"/>
  <c r="W13" i="144"/>
  <c r="W20" i="144"/>
  <c r="W24" i="144"/>
  <c r="S15" i="143"/>
  <c r="S16" i="143"/>
  <c r="W28" i="144"/>
  <c r="W30" i="144"/>
  <c r="W31" i="144"/>
  <c r="W48" i="144"/>
  <c r="W40" i="144"/>
  <c r="W39" i="144"/>
  <c r="X61" i="144"/>
  <c r="K22" i="144"/>
  <c r="L22" i="144"/>
  <c r="M22" i="144"/>
  <c r="N22" i="144"/>
  <c r="O22" i="144"/>
  <c r="P22" i="144"/>
  <c r="Q22" i="144"/>
  <c r="R22" i="144"/>
  <c r="S22" i="144"/>
  <c r="O39" i="122"/>
  <c r="O35" i="122"/>
  <c r="P40" i="122"/>
  <c r="T18" i="144"/>
  <c r="P28" i="122"/>
  <c r="T19" i="144"/>
  <c r="T14" i="144"/>
  <c r="H29" i="155"/>
  <c r="F29" i="155"/>
  <c r="L29" i="155"/>
  <c r="T15" i="144"/>
  <c r="T13" i="144"/>
  <c r="T20" i="144"/>
  <c r="T23" i="144"/>
  <c r="T22" i="144"/>
  <c r="T24" i="144"/>
  <c r="P15" i="143"/>
  <c r="P16" i="143"/>
  <c r="T28" i="144"/>
  <c r="T30" i="144"/>
  <c r="T31" i="144"/>
  <c r="T32" i="144"/>
  <c r="T55" i="144"/>
  <c r="P39" i="122"/>
  <c r="P35" i="122"/>
  <c r="Q40" i="122"/>
  <c r="U18" i="144"/>
  <c r="Q28" i="122"/>
  <c r="U19" i="144"/>
  <c r="U14" i="144"/>
  <c r="H30" i="155"/>
  <c r="F30" i="155"/>
  <c r="G30" i="155"/>
  <c r="L30" i="155"/>
  <c r="U15" i="144"/>
  <c r="U13" i="144"/>
  <c r="U20" i="144"/>
  <c r="U23" i="144"/>
  <c r="U22" i="144"/>
  <c r="U24" i="144"/>
  <c r="Q15" i="143"/>
  <c r="Q16" i="143"/>
  <c r="U28" i="144"/>
  <c r="U30" i="144"/>
  <c r="U31" i="144"/>
  <c r="U32" i="144"/>
  <c r="U55" i="144"/>
  <c r="Q39" i="122"/>
  <c r="Q35" i="122"/>
  <c r="R40" i="122"/>
  <c r="V18" i="144"/>
  <c r="R28" i="122"/>
  <c r="V19" i="144"/>
  <c r="V14" i="144"/>
  <c r="H31" i="155"/>
  <c r="F31" i="155"/>
  <c r="L31" i="155"/>
  <c r="V15" i="144"/>
  <c r="V13" i="144"/>
  <c r="V20" i="144"/>
  <c r="V23" i="144"/>
  <c r="V22" i="144"/>
  <c r="V24" i="144"/>
  <c r="R15" i="143"/>
  <c r="R16" i="143"/>
  <c r="V28" i="144"/>
  <c r="V30" i="144"/>
  <c r="V31" i="144"/>
  <c r="V32" i="144"/>
  <c r="V55" i="144"/>
  <c r="W32" i="144"/>
  <c r="W55" i="144"/>
  <c r="X32" i="144"/>
  <c r="X55" i="144"/>
  <c r="Y32" i="144"/>
  <c r="Y55" i="144"/>
  <c r="X27" i="122"/>
  <c r="Z32" i="144"/>
  <c r="Z55" i="144"/>
  <c r="O51" i="144"/>
  <c r="O52" i="144"/>
  <c r="O44" i="144"/>
  <c r="J67" i="144"/>
  <c r="J69" i="144"/>
  <c r="J60" i="144"/>
  <c r="F29" i="122"/>
  <c r="J64" i="144"/>
  <c r="J65" i="144"/>
  <c r="K65" i="144"/>
  <c r="L65" i="144"/>
  <c r="M65" i="144"/>
  <c r="N65" i="144"/>
  <c r="O65" i="144"/>
  <c r="O38" i="144"/>
  <c r="K27" i="122"/>
  <c r="O43" i="144"/>
  <c r="O36" i="144"/>
  <c r="O35" i="144"/>
  <c r="AA32" i="144"/>
  <c r="AA55" i="144"/>
  <c r="AB32" i="144"/>
  <c r="AB55" i="144"/>
  <c r="J51" i="144"/>
  <c r="J49" i="144"/>
  <c r="J44" i="144"/>
  <c r="J38" i="144"/>
  <c r="F27" i="122"/>
  <c r="J43" i="144"/>
  <c r="J36" i="144"/>
  <c r="J35" i="144"/>
  <c r="G27" i="122"/>
  <c r="K43" i="144"/>
  <c r="K51" i="144"/>
  <c r="K52" i="144"/>
  <c r="K44" i="144"/>
  <c r="E41" i="122"/>
  <c r="P27" i="122"/>
  <c r="T76" i="144"/>
  <c r="U76" i="144"/>
  <c r="V76" i="144"/>
  <c r="T58" i="144"/>
  <c r="U58" i="144"/>
  <c r="V58" i="144"/>
  <c r="W58" i="144"/>
  <c r="X58" i="144"/>
  <c r="Y58" i="144"/>
  <c r="Z58" i="144"/>
  <c r="AA58" i="144"/>
  <c r="AB58" i="144"/>
  <c r="X59" i="144"/>
  <c r="X62" i="144"/>
  <c r="X70" i="144"/>
  <c r="X71" i="144"/>
  <c r="X65" i="144"/>
  <c r="X72" i="144"/>
  <c r="T53" i="144"/>
  <c r="U53" i="144"/>
  <c r="V53" i="144"/>
  <c r="W53" i="144"/>
  <c r="X53" i="144"/>
  <c r="Y53" i="144"/>
  <c r="Y52" i="144"/>
  <c r="P17" i="143"/>
  <c r="Q17" i="143"/>
  <c r="R17" i="143"/>
  <c r="S17" i="143"/>
  <c r="T17" i="143"/>
  <c r="U17" i="143"/>
  <c r="Y51" i="144"/>
  <c r="Y44" i="144"/>
  <c r="V77" i="144"/>
  <c r="V47" i="144"/>
  <c r="V48" i="144"/>
  <c r="V40" i="144"/>
  <c r="V39" i="144"/>
  <c r="W61" i="144"/>
  <c r="P65" i="144"/>
  <c r="Q65" i="144"/>
  <c r="R65" i="144"/>
  <c r="S65" i="144"/>
  <c r="T77" i="144"/>
  <c r="T47" i="144"/>
  <c r="T48" i="144"/>
  <c r="T40" i="144"/>
  <c r="T39" i="144"/>
  <c r="T61" i="144"/>
  <c r="T59" i="144"/>
  <c r="T62" i="144"/>
  <c r="T70" i="144"/>
  <c r="T71" i="144"/>
  <c r="T65" i="144"/>
  <c r="T72" i="144"/>
  <c r="U77" i="144"/>
  <c r="U47" i="144"/>
  <c r="U48" i="144"/>
  <c r="U40" i="144"/>
  <c r="U39" i="144"/>
  <c r="U61" i="144"/>
  <c r="U59" i="144"/>
  <c r="U62" i="144"/>
  <c r="U70" i="144"/>
  <c r="U71" i="144"/>
  <c r="U65" i="144"/>
  <c r="U72" i="144"/>
  <c r="V61" i="144"/>
  <c r="V59" i="144"/>
  <c r="V62" i="144"/>
  <c r="V70" i="144"/>
  <c r="V71" i="144"/>
  <c r="V65" i="144"/>
  <c r="V72" i="144"/>
  <c r="W59" i="144"/>
  <c r="W62" i="144"/>
  <c r="W70" i="144"/>
  <c r="W71" i="144"/>
  <c r="W65" i="144"/>
  <c r="W72" i="144"/>
  <c r="Y59" i="144"/>
  <c r="Y62" i="144"/>
  <c r="AB59" i="144"/>
  <c r="AB62" i="144"/>
  <c r="AB70" i="144"/>
  <c r="AB71" i="144"/>
  <c r="AB65" i="144"/>
  <c r="AB72" i="144"/>
  <c r="R51" i="144"/>
  <c r="R52" i="144"/>
  <c r="R44" i="144"/>
  <c r="N27" i="122"/>
  <c r="R43" i="144"/>
  <c r="Y70" i="144"/>
  <c r="Y71" i="144"/>
  <c r="Y65" i="144"/>
  <c r="Y72" i="144"/>
  <c r="Y43" i="144"/>
  <c r="L51" i="144"/>
  <c r="M51" i="144"/>
  <c r="N51" i="144"/>
  <c r="P51" i="144"/>
  <c r="Q51" i="144"/>
  <c r="T51" i="144"/>
  <c r="U51" i="144"/>
  <c r="V51" i="144"/>
  <c r="W51" i="144"/>
  <c r="X51" i="144"/>
  <c r="V17" i="143"/>
  <c r="Z51" i="144"/>
  <c r="W17" i="143"/>
  <c r="AA51" i="144"/>
  <c r="X17" i="143"/>
  <c r="AB51" i="144"/>
  <c r="Z70" i="144"/>
  <c r="AA70" i="144"/>
  <c r="G29" i="122"/>
  <c r="H29" i="122"/>
  <c r="I29" i="122"/>
  <c r="J29" i="122"/>
  <c r="K29" i="122"/>
  <c r="L29" i="122"/>
  <c r="M29" i="122"/>
  <c r="N29" i="122"/>
  <c r="O29" i="122"/>
  <c r="P29" i="122"/>
  <c r="Q29" i="122"/>
  <c r="R29" i="122"/>
  <c r="S29" i="122"/>
  <c r="T29" i="122"/>
  <c r="U29" i="122"/>
  <c r="V29" i="122"/>
  <c r="W29" i="122"/>
  <c r="X29" i="122"/>
  <c r="Z59" i="144"/>
  <c r="AA59" i="144"/>
  <c r="F219" i="175"/>
  <c r="F4" i="143"/>
  <c r="G4" i="143"/>
  <c r="H4" i="143"/>
  <c r="I4" i="143"/>
  <c r="J4" i="143"/>
  <c r="K4" i="143"/>
  <c r="L4" i="143"/>
  <c r="M4" i="143"/>
  <c r="N4" i="143"/>
  <c r="O4" i="143"/>
  <c r="P4" i="143"/>
  <c r="Q4" i="143"/>
  <c r="R4" i="143"/>
  <c r="S4" i="143"/>
  <c r="T4" i="143"/>
  <c r="U4" i="143"/>
  <c r="V4" i="143"/>
  <c r="W4" i="143"/>
  <c r="X21" i="143"/>
  <c r="W21" i="143"/>
  <c r="V21" i="143"/>
  <c r="U21" i="143"/>
  <c r="T21" i="143"/>
  <c r="S21" i="143"/>
  <c r="R21" i="143"/>
  <c r="Q21" i="143"/>
  <c r="P21" i="143"/>
  <c r="E20" i="143"/>
  <c r="O21" i="143"/>
  <c r="N21" i="143"/>
  <c r="M21" i="143"/>
  <c r="L21" i="143"/>
  <c r="K21" i="143"/>
  <c r="J21" i="143"/>
  <c r="I21" i="143"/>
  <c r="H21" i="143"/>
  <c r="G21" i="143"/>
  <c r="F21" i="143"/>
  <c r="H27" i="122"/>
  <c r="L43" i="144"/>
  <c r="I27" i="122"/>
  <c r="M43" i="144"/>
  <c r="J27" i="122"/>
  <c r="N43" i="144"/>
  <c r="L27" i="122"/>
  <c r="P43" i="144"/>
  <c r="M27" i="122"/>
  <c r="Q43" i="144"/>
  <c r="T43" i="144"/>
  <c r="Q27" i="122"/>
  <c r="U43" i="144"/>
  <c r="R27" i="122"/>
  <c r="V43" i="144"/>
  <c r="S27" i="122"/>
  <c r="W43" i="144"/>
  <c r="T14" i="122"/>
  <c r="T27" i="122"/>
  <c r="X43" i="144"/>
  <c r="U14" i="122"/>
  <c r="V14" i="122"/>
  <c r="V27" i="122"/>
  <c r="Z43" i="144"/>
  <c r="W14" i="122"/>
  <c r="W27" i="122"/>
  <c r="AA43" i="144"/>
  <c r="X14" i="122"/>
  <c r="AB43" i="144"/>
  <c r="C28" i="169"/>
  <c r="X4" i="143"/>
  <c r="D6" i="143"/>
  <c r="Z62" i="144"/>
  <c r="Z65" i="144"/>
  <c r="Z71" i="144"/>
  <c r="Z72" i="144"/>
  <c r="AA62" i="144"/>
  <c r="AA65" i="144"/>
  <c r="AA71" i="144"/>
  <c r="AA72" i="144"/>
  <c r="Z53" i="144"/>
  <c r="AA53" i="144"/>
  <c r="AB53" i="144"/>
  <c r="AB52" i="144"/>
  <c r="AA52" i="144"/>
  <c r="Z52" i="144"/>
  <c r="X52" i="144"/>
  <c r="W52" i="144"/>
  <c r="V52" i="144"/>
  <c r="U52" i="144"/>
  <c r="T52" i="144"/>
  <c r="Q52" i="144"/>
  <c r="P52" i="144"/>
  <c r="N52" i="144"/>
  <c r="M52" i="144"/>
  <c r="L52" i="144"/>
  <c r="AB44" i="144"/>
  <c r="AA44" i="144"/>
  <c r="Z44" i="144"/>
  <c r="X44" i="144"/>
  <c r="W44" i="144"/>
  <c r="V44" i="144"/>
  <c r="U44" i="144"/>
  <c r="T44" i="144"/>
  <c r="Q44" i="144"/>
  <c r="P44" i="144"/>
  <c r="N44" i="144"/>
  <c r="M44" i="144"/>
  <c r="L44" i="144"/>
  <c r="G41" i="122"/>
  <c r="F41" i="122"/>
  <c r="E22" i="143"/>
  <c r="F22" i="143"/>
  <c r="G22" i="143"/>
  <c r="H22" i="143"/>
  <c r="I22" i="143"/>
  <c r="J22" i="143"/>
  <c r="K22" i="143"/>
  <c r="L22" i="143"/>
  <c r="M22" i="143"/>
  <c r="N22" i="143"/>
  <c r="O22" i="143"/>
  <c r="P22" i="143"/>
  <c r="Q22" i="143"/>
  <c r="R22" i="143"/>
  <c r="S22" i="143"/>
  <c r="T22" i="143"/>
  <c r="U22" i="143"/>
  <c r="V22" i="143"/>
  <c r="W22" i="143"/>
  <c r="X22" i="143"/>
  <c r="F196" i="175"/>
  <c r="F197" i="175"/>
  <c r="F177" i="175"/>
  <c r="D4" i="169"/>
  <c r="C9" i="169"/>
  <c r="F14" i="169"/>
  <c r="F114" i="175"/>
  <c r="E25" i="143"/>
  <c r="F16" i="169"/>
  <c r="D15" i="143"/>
  <c r="D21" i="143"/>
  <c r="H5" i="182"/>
  <c r="H6" i="182"/>
  <c r="H7" i="182"/>
  <c r="H8" i="182"/>
  <c r="H9" i="182"/>
  <c r="H10" i="182"/>
  <c r="H11" i="182"/>
  <c r="H12" i="182"/>
  <c r="H13" i="182"/>
  <c r="H14" i="182"/>
  <c r="H15" i="182"/>
  <c r="H16" i="182"/>
  <c r="H17" i="182"/>
  <c r="H18" i="182"/>
  <c r="H19" i="182"/>
  <c r="H20" i="182"/>
  <c r="H21" i="182"/>
  <c r="H22" i="182"/>
  <c r="H23" i="182"/>
  <c r="H24" i="182"/>
  <c r="H25" i="182"/>
  <c r="H26" i="182"/>
  <c r="H27" i="182"/>
  <c r="H28" i="182"/>
  <c r="H29" i="182"/>
  <c r="H30" i="182"/>
  <c r="H31" i="182"/>
  <c r="H32" i="182"/>
  <c r="H33" i="182"/>
  <c r="H34" i="182"/>
  <c r="H35" i="182"/>
  <c r="H36" i="182"/>
  <c r="H37" i="182"/>
  <c r="H38" i="182"/>
  <c r="H39" i="182"/>
  <c r="H40" i="182"/>
  <c r="H41" i="182"/>
  <c r="H42" i="182"/>
  <c r="H43" i="182"/>
  <c r="H44" i="182"/>
  <c r="H45" i="182"/>
  <c r="H46" i="182"/>
  <c r="H47" i="182"/>
  <c r="H4" i="182"/>
  <c r="D28" i="169"/>
  <c r="X37" i="122"/>
  <c r="X39" i="122"/>
  <c r="X33" i="122"/>
  <c r="X35" i="122"/>
  <c r="A18" i="122"/>
  <c r="A36" i="122"/>
  <c r="A9" i="122"/>
  <c r="A32" i="122"/>
  <c r="K56" i="122"/>
  <c r="K57" i="122"/>
  <c r="K58" i="122"/>
  <c r="K59" i="122"/>
  <c r="K60" i="122"/>
  <c r="K61" i="122"/>
  <c r="K62" i="122"/>
  <c r="K63" i="122"/>
  <c r="K64" i="122"/>
  <c r="K65" i="122"/>
  <c r="K66" i="122"/>
  <c r="K67" i="122"/>
  <c r="K68" i="122"/>
  <c r="H69" i="122"/>
  <c r="K69" i="122"/>
  <c r="H70" i="122"/>
  <c r="K70" i="122"/>
  <c r="H71" i="122"/>
  <c r="K71" i="122"/>
  <c r="H72" i="122"/>
  <c r="K72" i="122"/>
  <c r="G73" i="122"/>
  <c r="H73" i="122"/>
  <c r="K73" i="122"/>
  <c r="G74" i="122"/>
  <c r="H74" i="122"/>
  <c r="J74" i="122"/>
  <c r="K74" i="122"/>
  <c r="G75" i="122"/>
  <c r="H75" i="122"/>
  <c r="J75" i="122"/>
  <c r="K75" i="122"/>
  <c r="G38" i="155"/>
  <c r="D14" i="155"/>
  <c r="F38" i="155"/>
  <c r="H38" i="155"/>
  <c r="F119" i="175"/>
  <c r="F117" i="175"/>
  <c r="F115" i="175"/>
  <c r="F178" i="175"/>
  <c r="F179" i="175"/>
  <c r="F180" i="175"/>
  <c r="F181" i="175"/>
  <c r="F182" i="175"/>
  <c r="F183" i="175"/>
  <c r="F184" i="175"/>
  <c r="F185" i="175"/>
  <c r="F186" i="175"/>
  <c r="F187" i="175"/>
  <c r="F188" i="175"/>
  <c r="F189" i="175"/>
  <c r="F190" i="175"/>
  <c r="F191" i="175"/>
  <c r="F192" i="175"/>
  <c r="F193" i="175"/>
  <c r="F194" i="175"/>
  <c r="F204" i="175"/>
  <c r="F205" i="175"/>
  <c r="F206" i="175"/>
  <c r="F207" i="175"/>
  <c r="F214" i="175"/>
  <c r="F220" i="175"/>
  <c r="F221" i="175"/>
  <c r="F222" i="175"/>
  <c r="F224" i="175"/>
  <c r="F225" i="175"/>
  <c r="G26" i="169"/>
  <c r="H26" i="169"/>
  <c r="I26" i="169"/>
  <c r="J26" i="169"/>
  <c r="K26" i="169"/>
  <c r="L26" i="169"/>
  <c r="M26" i="169"/>
  <c r="N26" i="169"/>
  <c r="O26" i="169"/>
  <c r="P26" i="169"/>
  <c r="Q26" i="169"/>
  <c r="R26" i="169"/>
  <c r="S26" i="169"/>
  <c r="T26" i="169"/>
  <c r="U26" i="169"/>
  <c r="V26" i="169"/>
  <c r="W26" i="169"/>
  <c r="X26" i="169"/>
  <c r="Y26" i="169"/>
  <c r="H41" i="122"/>
  <c r="I41" i="122"/>
  <c r="J41" i="122"/>
  <c r="K41" i="122"/>
  <c r="L41" i="122"/>
  <c r="M41" i="122"/>
  <c r="N41" i="122"/>
  <c r="O41" i="122"/>
  <c r="P41" i="122"/>
  <c r="Q41" i="122"/>
  <c r="R41" i="122"/>
  <c r="S41" i="122"/>
  <c r="T6" i="122"/>
  <c r="T41" i="122"/>
  <c r="U6" i="122"/>
  <c r="U41" i="122"/>
  <c r="V6" i="122"/>
  <c r="V41" i="122"/>
  <c r="W6" i="122"/>
  <c r="W41" i="122"/>
  <c r="X6" i="122"/>
  <c r="X41" i="122"/>
  <c r="E3" i="122"/>
  <c r="F3" i="122"/>
  <c r="G3" i="122"/>
  <c r="H3" i="122"/>
  <c r="I3" i="122"/>
  <c r="J3" i="122"/>
  <c r="K3" i="122"/>
  <c r="L3" i="122"/>
  <c r="M3" i="122"/>
  <c r="N3" i="122"/>
  <c r="O3" i="122"/>
  <c r="P3" i="122"/>
  <c r="Q3" i="122"/>
  <c r="R3" i="122"/>
  <c r="S3" i="122"/>
  <c r="T3" i="122"/>
  <c r="U3" i="122"/>
  <c r="V3" i="122"/>
  <c r="W3" i="122"/>
  <c r="X3" i="122"/>
  <c r="Y33" i="143"/>
  <c r="E12" i="143"/>
  <c r="E3" i="143"/>
  <c r="F3" i="143"/>
  <c r="G3" i="143"/>
  <c r="H3" i="143"/>
  <c r="I3" i="143"/>
  <c r="J3" i="143"/>
  <c r="K3" i="143"/>
  <c r="L3" i="143"/>
  <c r="M3" i="143"/>
  <c r="N3" i="143"/>
  <c r="O3" i="143"/>
  <c r="P3" i="143"/>
  <c r="Q3" i="143"/>
  <c r="R3" i="143"/>
  <c r="S3" i="143"/>
  <c r="T3" i="143"/>
  <c r="U3" i="143"/>
  <c r="V3" i="143"/>
  <c r="W3" i="143"/>
  <c r="X3" i="143"/>
  <c r="J2" i="144"/>
  <c r="K2" i="144"/>
  <c r="L2" i="144"/>
  <c r="M2" i="144"/>
  <c r="N2" i="144"/>
  <c r="O2" i="144"/>
  <c r="P2" i="144"/>
  <c r="Q2" i="144"/>
  <c r="R2" i="144"/>
  <c r="S2" i="144"/>
  <c r="T2" i="144"/>
  <c r="U2" i="144"/>
  <c r="V2" i="144"/>
  <c r="W2" i="144"/>
  <c r="X2" i="144"/>
  <c r="Y2" i="144"/>
  <c r="Z2" i="144"/>
  <c r="AA2" i="144"/>
  <c r="AB2" i="144"/>
  <c r="F17" i="169"/>
  <c r="G14" i="169"/>
  <c r="G16" i="169"/>
  <c r="G17" i="169"/>
  <c r="H14" i="169"/>
  <c r="H16" i="169"/>
  <c r="H17" i="169"/>
  <c r="I14" i="169"/>
  <c r="I16" i="169"/>
  <c r="I17" i="169"/>
  <c r="J14" i="169"/>
  <c r="J16" i="169"/>
  <c r="J17" i="169"/>
  <c r="K14" i="169"/>
  <c r="K16" i="169"/>
  <c r="K17" i="169"/>
  <c r="L14" i="169"/>
  <c r="L16" i="169"/>
  <c r="L17" i="169"/>
  <c r="M14" i="169"/>
  <c r="M16" i="169"/>
  <c r="M17" i="169"/>
  <c r="N14" i="169"/>
  <c r="N16" i="169"/>
  <c r="N17" i="169"/>
  <c r="O14" i="169"/>
  <c r="O16" i="169"/>
  <c r="O17" i="169"/>
  <c r="P14" i="169"/>
  <c r="P16" i="169"/>
  <c r="P17" i="169"/>
  <c r="Q14" i="169"/>
  <c r="Q16" i="169"/>
  <c r="Q17" i="169"/>
  <c r="R14" i="169"/>
  <c r="R16" i="169"/>
  <c r="R17" i="169"/>
  <c r="S14" i="169"/>
  <c r="S16" i="169"/>
  <c r="S17" i="169"/>
  <c r="T14" i="169"/>
  <c r="T16" i="169"/>
  <c r="T17" i="169"/>
  <c r="U14" i="169"/>
  <c r="U16" i="169"/>
  <c r="U17" i="169"/>
  <c r="V14" i="169"/>
  <c r="V16" i="169"/>
  <c r="V17" i="169"/>
  <c r="W14" i="169"/>
  <c r="W16" i="169"/>
  <c r="W17" i="169"/>
  <c r="X14" i="169"/>
  <c r="X16" i="169"/>
  <c r="X17" i="169"/>
  <c r="Y14" i="169"/>
  <c r="Y16" i="169"/>
  <c r="Y17" i="169"/>
  <c r="G8" i="169"/>
  <c r="H8" i="169"/>
  <c r="I8" i="169"/>
  <c r="J8" i="169"/>
  <c r="K8" i="169"/>
  <c r="L8" i="169"/>
  <c r="M8" i="169"/>
  <c r="N8" i="169"/>
  <c r="O8" i="169"/>
  <c r="P8" i="169"/>
  <c r="Q8" i="169"/>
  <c r="R8" i="169"/>
  <c r="S8" i="169"/>
  <c r="T8" i="169"/>
  <c r="U8" i="169"/>
  <c r="V8" i="169"/>
  <c r="W8" i="169"/>
  <c r="X8" i="169"/>
  <c r="Y8" i="169"/>
  <c r="F3" i="169"/>
  <c r="G3" i="169"/>
  <c r="H3" i="169"/>
  <c r="I3" i="169"/>
  <c r="J3" i="169"/>
  <c r="K3" i="169"/>
  <c r="L3" i="169"/>
  <c r="M3" i="169"/>
  <c r="N3" i="169"/>
  <c r="O3" i="169"/>
  <c r="P3" i="169"/>
  <c r="Q3" i="169"/>
  <c r="R3" i="169"/>
  <c r="S3" i="169"/>
  <c r="T3" i="169"/>
  <c r="U3" i="169"/>
  <c r="V3" i="169"/>
  <c r="W3" i="169"/>
  <c r="X3" i="169"/>
  <c r="U41" i="155"/>
  <c r="F39" i="155"/>
  <c r="G39" i="155"/>
  <c r="H39" i="155"/>
  <c r="L39" i="155"/>
  <c r="L38" i="155"/>
  <c r="A20" i="155"/>
  <c r="A21" i="155"/>
  <c r="A22" i="155"/>
  <c r="A23" i="155"/>
  <c r="A24" i="155"/>
  <c r="A25" i="155"/>
  <c r="A26" i="155"/>
  <c r="A27" i="155"/>
  <c r="A28" i="155"/>
  <c r="A29" i="155"/>
  <c r="A30" i="155"/>
  <c r="A31" i="155"/>
  <c r="A32" i="155"/>
  <c r="A33" i="155"/>
  <c r="A34" i="155"/>
  <c r="A35" i="155"/>
  <c r="A36" i="155"/>
  <c r="C16" i="155"/>
  <c r="F109" i="175"/>
  <c r="F103" i="175"/>
  <c r="Y16" i="143"/>
  <c r="K38" i="144"/>
  <c r="K36" i="144"/>
  <c r="K35" i="144"/>
  <c r="I35" i="144"/>
  <c r="R38" i="144"/>
  <c r="R36" i="144"/>
  <c r="R35" i="144"/>
  <c r="T73" i="144"/>
  <c r="T74" i="144"/>
  <c r="U73" i="144"/>
  <c r="U74" i="144"/>
  <c r="V73" i="144"/>
  <c r="V74" i="144"/>
  <c r="W73" i="144"/>
  <c r="W74" i="144"/>
  <c r="X73" i="144"/>
  <c r="X74" i="144"/>
  <c r="Y73" i="144"/>
  <c r="Y74" i="144"/>
  <c r="Y38" i="144"/>
  <c r="Y36" i="144"/>
  <c r="Y35" i="144"/>
  <c r="Z73" i="144"/>
  <c r="Z74" i="144"/>
  <c r="AA73" i="144"/>
  <c r="AA74" i="144"/>
  <c r="AB73" i="144"/>
  <c r="AB74" i="144"/>
  <c r="AB38" i="144"/>
  <c r="AB36" i="144"/>
  <c r="AB35" i="144"/>
  <c r="AA38" i="144"/>
  <c r="AA36" i="144"/>
  <c r="AA35" i="144"/>
  <c r="Z38" i="144"/>
  <c r="Z36" i="144"/>
  <c r="Z35" i="144"/>
  <c r="X38" i="144"/>
  <c r="X36" i="144"/>
  <c r="X35" i="144"/>
  <c r="W38" i="144"/>
  <c r="W36" i="144"/>
  <c r="W35" i="144"/>
  <c r="V38" i="144"/>
  <c r="V36" i="144"/>
  <c r="V35" i="144"/>
  <c r="U38" i="144"/>
  <c r="U36" i="144"/>
  <c r="U35" i="144"/>
  <c r="T38" i="144"/>
  <c r="T36" i="144"/>
  <c r="T35" i="144"/>
  <c r="S35" i="144"/>
  <c r="Q38" i="144"/>
  <c r="Q36" i="144"/>
  <c r="Q35" i="144"/>
  <c r="P38" i="144"/>
  <c r="P36" i="144"/>
  <c r="P35" i="144"/>
  <c r="N38" i="144"/>
  <c r="N36" i="144"/>
  <c r="N35" i="144"/>
  <c r="M38" i="144"/>
  <c r="M36" i="144"/>
  <c r="M35" i="144"/>
  <c r="L38" i="144"/>
  <c r="L36" i="144"/>
  <c r="L35" i="144"/>
</calcChain>
</file>

<file path=xl/sharedStrings.xml><?xml version="1.0" encoding="utf-8"?>
<sst xmlns="http://schemas.openxmlformats.org/spreadsheetml/2006/main" count="922" uniqueCount="700">
  <si>
    <t>当期利益(税所得割引前)</t>
    <rPh sb="0" eb="4">
      <t>トウキリエキ</t>
    </rPh>
    <rPh sb="5" eb="6">
      <t>ゼイ</t>
    </rPh>
    <rPh sb="6" eb="9">
      <t>ショトクワリ</t>
    </rPh>
    <rPh sb="9" eb="10">
      <t>ヒ</t>
    </rPh>
    <rPh sb="10" eb="11">
      <t>マエ</t>
    </rPh>
    <phoneticPr fontId="6"/>
  </si>
  <si>
    <t>生産物賠償責任保険</t>
    <phoneticPr fontId="6"/>
  </si>
  <si>
    <t>年合計</t>
    <rPh sb="0" eb="3">
      <t>ネンゴウケイ</t>
    </rPh>
    <phoneticPr fontId="6"/>
  </si>
  <si>
    <t>減価率</t>
    <rPh sb="0" eb="3">
      <t>ゲンカリツ</t>
    </rPh>
    <phoneticPr fontId="6"/>
  </si>
  <si>
    <t>資産評価額</t>
    <rPh sb="0" eb="5">
      <t>シサンヒョウカガク</t>
    </rPh>
    <phoneticPr fontId="6"/>
  </si>
  <si>
    <t>損害賠償保険料</t>
    <rPh sb="0" eb="4">
      <t>ソンガ</t>
    </rPh>
    <rPh sb="4" eb="7">
      <t>ホケンリョウ</t>
    </rPh>
    <phoneticPr fontId="6"/>
  </si>
  <si>
    <t>未払法人税等</t>
    <rPh sb="0" eb="2">
      <t>ミハラ</t>
    </rPh>
    <rPh sb="2" eb="5">
      <t>ホウジン</t>
    </rPh>
    <rPh sb="5" eb="6">
      <t>ナド</t>
    </rPh>
    <phoneticPr fontId="6"/>
  </si>
  <si>
    <t>地震保険料率</t>
    <rPh sb="0" eb="2">
      <t>ジシン</t>
    </rPh>
    <rPh sb="2" eb="6">
      <t>ホケンリョウリ</t>
    </rPh>
    <phoneticPr fontId="6"/>
  </si>
  <si>
    <t>火災保険料率</t>
    <rPh sb="0" eb="2">
      <t>カサイホケンリョウリツ</t>
    </rPh>
    <rPh sb="2" eb="6">
      <t>ホケンリョウリ</t>
    </rPh>
    <phoneticPr fontId="6"/>
  </si>
  <si>
    <t>機械保険料率</t>
    <rPh sb="0" eb="2">
      <t>キカイリョウリツ</t>
    </rPh>
    <rPh sb="2" eb="6">
      <t>ホケンリョウリツ</t>
    </rPh>
    <phoneticPr fontId="6"/>
  </si>
  <si>
    <t>保険金は無し</t>
    <rPh sb="4" eb="5">
      <t>ナ</t>
    </rPh>
    <phoneticPr fontId="6"/>
  </si>
  <si>
    <t>保険金は時価の30%</t>
    <rPh sb="4" eb="6">
      <t>ジカ</t>
    </rPh>
    <phoneticPr fontId="6"/>
  </si>
  <si>
    <t>保険金は時価の60%</t>
    <rPh sb="0" eb="3">
      <t>ホケンキン</t>
    </rPh>
    <rPh sb="4" eb="6">
      <t>ジカ</t>
    </rPh>
    <phoneticPr fontId="6"/>
  </si>
  <si>
    <t>地震保険料率</t>
    <rPh sb="0" eb="4">
      <t>ジシンホケン</t>
    </rPh>
    <rPh sb="4" eb="6">
      <t>リョウリツ</t>
    </rPh>
    <phoneticPr fontId="6"/>
  </si>
  <si>
    <t>累積</t>
    <rPh sb="0" eb="2">
      <t>ルイセキ</t>
    </rPh>
    <phoneticPr fontId="6"/>
  </si>
  <si>
    <t>保険合計</t>
    <rPh sb="0" eb="4">
      <t>ホケンゴウケイ</t>
    </rPh>
    <phoneticPr fontId="6"/>
  </si>
  <si>
    <t>円</t>
    <rPh sb="0" eb="1">
      <t>エン</t>
    </rPh>
    <phoneticPr fontId="6"/>
  </si>
  <si>
    <t>臨時：メモ用</t>
    <rPh sb="0" eb="2">
      <t>リンジソウニュウ</t>
    </rPh>
    <rPh sb="5" eb="6">
      <t>ヨウ</t>
    </rPh>
    <phoneticPr fontId="6"/>
  </si>
  <si>
    <t>消費税仮受</t>
    <rPh sb="0" eb="3">
      <t>ショウヒゼイ</t>
    </rPh>
    <rPh sb="3" eb="4">
      <t>カリ</t>
    </rPh>
    <rPh sb="4" eb="5">
      <t>ウ</t>
    </rPh>
    <phoneticPr fontId="6"/>
  </si>
  <si>
    <t>消費税仮払</t>
    <rPh sb="0" eb="3">
      <t>ショウヒゼイ</t>
    </rPh>
    <rPh sb="3" eb="4">
      <t>カリ</t>
    </rPh>
    <rPh sb="4" eb="5">
      <t>シハライ</t>
    </rPh>
    <phoneticPr fontId="6"/>
  </si>
  <si>
    <t>期末現預金残高</t>
    <rPh sb="0" eb="2">
      <t>キマツ</t>
    </rPh>
    <rPh sb="2" eb="3">
      <t>ゲン</t>
    </rPh>
    <rPh sb="3" eb="5">
      <t>ヨキン</t>
    </rPh>
    <rPh sb="5" eb="7">
      <t>ザンダカ</t>
    </rPh>
    <phoneticPr fontId="6"/>
  </si>
  <si>
    <t>長期借入元本返済</t>
    <rPh sb="0" eb="2">
      <t>チョウキ</t>
    </rPh>
    <rPh sb="2" eb="4">
      <t>タンキカリイレ</t>
    </rPh>
    <rPh sb="4" eb="6">
      <t>ガンポン</t>
    </rPh>
    <rPh sb="6" eb="8">
      <t>ヘンサイ</t>
    </rPh>
    <phoneticPr fontId="6"/>
  </si>
  <si>
    <t>営業外費用</t>
    <rPh sb="0" eb="3">
      <t>エイギョウガイ</t>
    </rPh>
    <rPh sb="3" eb="5">
      <t>ヒヨウ</t>
    </rPh>
    <phoneticPr fontId="6"/>
  </si>
  <si>
    <t>補助金</t>
    <rPh sb="0" eb="3">
      <t>ホジョキン</t>
    </rPh>
    <phoneticPr fontId="6"/>
  </si>
  <si>
    <t>固定資産税（PL計上）</t>
    <rPh sb="0" eb="5">
      <t>コテイ</t>
    </rPh>
    <rPh sb="8" eb="10">
      <t>ケイジョウ</t>
    </rPh>
    <phoneticPr fontId="6"/>
  </si>
  <si>
    <t>期末残高</t>
    <rPh sb="0" eb="4">
      <t>キマツザンダカ</t>
    </rPh>
    <phoneticPr fontId="6"/>
  </si>
  <si>
    <t>借入額</t>
    <rPh sb="0" eb="3">
      <t>カリイレガク</t>
    </rPh>
    <phoneticPr fontId="6"/>
  </si>
  <si>
    <t>借入</t>
    <rPh sb="0" eb="2">
      <t>カリイレ</t>
    </rPh>
    <phoneticPr fontId="6"/>
  </si>
  <si>
    <t>支払利息</t>
    <rPh sb="0" eb="4">
      <t>シハライ</t>
    </rPh>
    <phoneticPr fontId="6"/>
  </si>
  <si>
    <t>期末残高</t>
    <rPh sb="0" eb="4">
      <t>キマツ</t>
    </rPh>
    <phoneticPr fontId="6"/>
  </si>
  <si>
    <t>利息合計</t>
    <rPh sb="0" eb="4">
      <t>リソクゴウケイ</t>
    </rPh>
    <phoneticPr fontId="6"/>
  </si>
  <si>
    <t>FNC</t>
    <phoneticPr fontId="6"/>
  </si>
  <si>
    <t>年次</t>
    <rPh sb="0" eb="2">
      <t>ネンジ</t>
    </rPh>
    <phoneticPr fontId="6"/>
  </si>
  <si>
    <t>財務活動</t>
    <rPh sb="0" eb="2">
      <t>ザイム</t>
    </rPh>
    <rPh sb="2" eb="4">
      <t>カツドウ</t>
    </rPh>
    <phoneticPr fontId="6"/>
  </si>
  <si>
    <r>
      <t>(1/1</t>
    </r>
    <r>
      <rPr>
        <sz val="11"/>
        <rFont val="ＭＳ Ｐゴシック"/>
        <family val="3"/>
        <charset val="128"/>
      </rPr>
      <t>現在、評価額ベース)</t>
    </r>
    <rPh sb="4" eb="6">
      <t>ゲンザイ</t>
    </rPh>
    <rPh sb="7" eb="10">
      <t>ヒョウカガク</t>
    </rPh>
    <phoneticPr fontId="6"/>
  </si>
  <si>
    <t>長期借入</t>
    <rPh sb="0" eb="4">
      <t>チョウキ</t>
    </rPh>
    <phoneticPr fontId="6"/>
  </si>
  <si>
    <t>3月末時点で実際にはらった分だけ（未払金分は除く）</t>
    <rPh sb="1" eb="2">
      <t>ガツ</t>
    </rPh>
    <rPh sb="2" eb="5">
      <t>マツジテン</t>
    </rPh>
    <rPh sb="6" eb="8">
      <t>ジッサイ</t>
    </rPh>
    <rPh sb="13" eb="14">
      <t>ブン</t>
    </rPh>
    <rPh sb="17" eb="20">
      <t>ミバライキン</t>
    </rPh>
    <rPh sb="20" eb="21">
      <t>ブン</t>
    </rPh>
    <rPh sb="22" eb="23">
      <t>ノゾ</t>
    </rPh>
    <phoneticPr fontId="6"/>
  </si>
  <si>
    <t>年</t>
    <rPh sb="0" eb="1">
      <t>ネン</t>
    </rPh>
    <phoneticPr fontId="6"/>
  </si>
  <si>
    <t>投資活動からのキャッシュフロー</t>
    <rPh sb="0" eb="2">
      <t>トウシ</t>
    </rPh>
    <rPh sb="2" eb="4">
      <t>カツドウ</t>
    </rPh>
    <phoneticPr fontId="6"/>
  </si>
  <si>
    <t>契約時・発注前金</t>
    <rPh sb="0" eb="3">
      <t>ケイヤクジ</t>
    </rPh>
    <rPh sb="4" eb="6">
      <t>ハッチュウ</t>
    </rPh>
    <rPh sb="6" eb="8">
      <t>マエキン</t>
    </rPh>
    <phoneticPr fontId="6"/>
  </si>
  <si>
    <t>BS仕入債務増分ー売上債権増分</t>
    <rPh sb="2" eb="4">
      <t>シイ</t>
    </rPh>
    <rPh sb="4" eb="6">
      <t>サイム</t>
    </rPh>
    <rPh sb="6" eb="8">
      <t>ゾウブン</t>
    </rPh>
    <rPh sb="9" eb="10">
      <t>ウ</t>
    </rPh>
    <rPh sb="10" eb="11">
      <t>ア</t>
    </rPh>
    <rPh sb="11" eb="13">
      <t>サイケン</t>
    </rPh>
    <rPh sb="13" eb="15">
      <t>ゾウブン</t>
    </rPh>
    <phoneticPr fontId="6"/>
  </si>
  <si>
    <t>仮払消費税</t>
    <rPh sb="0" eb="5">
      <t>カリバ</t>
    </rPh>
    <phoneticPr fontId="6"/>
  </si>
  <si>
    <t>月数</t>
    <rPh sb="0" eb="2">
      <t>ツキスウ</t>
    </rPh>
    <phoneticPr fontId="6"/>
  </si>
  <si>
    <t>元本返済</t>
    <rPh sb="0" eb="4">
      <t>ガンポンヘンサイ</t>
    </rPh>
    <phoneticPr fontId="6"/>
  </si>
  <si>
    <t>取得価額(税抜)</t>
    <rPh sb="0" eb="4">
      <t>シュトクカガク</t>
    </rPh>
    <rPh sb="5" eb="7">
      <t>ゼイヌ</t>
    </rPh>
    <phoneticPr fontId="6"/>
  </si>
  <si>
    <t>事業のカテゴリーの仕方は以下の通りでいいか？</t>
    <rPh sb="0" eb="2">
      <t>ジギョウ</t>
    </rPh>
    <rPh sb="9" eb="11">
      <t>シカタ</t>
    </rPh>
    <rPh sb="12" eb="14">
      <t>イカ</t>
    </rPh>
    <rPh sb="15" eb="16">
      <t>トオ</t>
    </rPh>
    <phoneticPr fontId="6"/>
  </si>
  <si>
    <t>シミュレーション</t>
    <phoneticPr fontId="6"/>
  </si>
  <si>
    <t>キャッシュフロー計: 現預金増減</t>
    <rPh sb="8" eb="9">
      <t>ケイ</t>
    </rPh>
    <rPh sb="11" eb="12">
      <t>ゲン</t>
    </rPh>
    <rPh sb="12" eb="14">
      <t>ヨキン</t>
    </rPh>
    <rPh sb="14" eb="16">
      <t>ゾウゲン</t>
    </rPh>
    <phoneticPr fontId="6"/>
  </si>
  <si>
    <t>期末</t>
    <rPh sb="0" eb="2">
      <t>キマツ</t>
    </rPh>
    <phoneticPr fontId="6"/>
  </si>
  <si>
    <t>短期借入元本返済</t>
    <rPh sb="0" eb="4">
      <t>タンキカリイレ</t>
    </rPh>
    <rPh sb="4" eb="6">
      <t>ガンポン</t>
    </rPh>
    <rPh sb="6" eb="8">
      <t>ヘンサイ</t>
    </rPh>
    <phoneticPr fontId="6"/>
  </si>
  <si>
    <t>売上原価</t>
    <rPh sb="0" eb="2">
      <t>ウリアゲ</t>
    </rPh>
    <rPh sb="2" eb="4">
      <t>ゲンカ</t>
    </rPh>
    <phoneticPr fontId="6"/>
  </si>
  <si>
    <t>流動資産</t>
    <rPh sb="0" eb="4">
      <t>リュウドウシサン</t>
    </rPh>
    <phoneticPr fontId="13"/>
  </si>
  <si>
    <t>年度</t>
    <rPh sb="0" eb="2">
      <t>ネンド</t>
    </rPh>
    <phoneticPr fontId="6"/>
  </si>
  <si>
    <t>短期借入金</t>
    <rPh sb="0" eb="2">
      <t>タンキ</t>
    </rPh>
    <rPh sb="2" eb="4">
      <t>カリイレ</t>
    </rPh>
    <rPh sb="4" eb="5">
      <t>キン</t>
    </rPh>
    <phoneticPr fontId="6"/>
  </si>
  <si>
    <t>補助金圧縮記帳</t>
    <rPh sb="0" eb="3">
      <t>ホジョキン</t>
    </rPh>
    <rPh sb="3" eb="5">
      <t>アッシュク</t>
    </rPh>
    <rPh sb="5" eb="7">
      <t>キチョウ</t>
    </rPh>
    <phoneticPr fontId="6"/>
  </si>
  <si>
    <t>消費税</t>
    <rPh sb="0" eb="3">
      <t>ショウヒゼイ</t>
    </rPh>
    <phoneticPr fontId="6"/>
  </si>
  <si>
    <t>現金・預金</t>
    <rPh sb="0" eb="1">
      <t>ゲン</t>
    </rPh>
    <rPh sb="1" eb="2">
      <t>キン</t>
    </rPh>
    <rPh sb="3" eb="5">
      <t>ヨキン</t>
    </rPh>
    <phoneticPr fontId="13"/>
  </si>
  <si>
    <t>期初</t>
    <rPh sb="0" eb="1">
      <t>キ</t>
    </rPh>
    <rPh sb="1" eb="2">
      <t>ショ</t>
    </rPh>
    <phoneticPr fontId="6"/>
  </si>
  <si>
    <t>耐用年数</t>
    <rPh sb="0" eb="4">
      <t>タイヨウ</t>
    </rPh>
    <phoneticPr fontId="6"/>
  </si>
  <si>
    <t>設備投資合計（設備取得）</t>
    <rPh sb="0" eb="2">
      <t>セツビ</t>
    </rPh>
    <rPh sb="2" eb="4">
      <t>トウシ</t>
    </rPh>
    <rPh sb="4" eb="6">
      <t>ゴウケイ</t>
    </rPh>
    <rPh sb="7" eb="9">
      <t>セツビ</t>
    </rPh>
    <rPh sb="9" eb="11">
      <t>シュトク</t>
    </rPh>
    <phoneticPr fontId="6"/>
  </si>
  <si>
    <t>機器設備</t>
    <rPh sb="0" eb="2">
      <t>キキ</t>
    </rPh>
    <rPh sb="2" eb="4">
      <t>セツビ</t>
    </rPh>
    <phoneticPr fontId="6"/>
  </si>
  <si>
    <t>資本</t>
    <rPh sb="0" eb="2">
      <t>シホン</t>
    </rPh>
    <phoneticPr fontId="13"/>
  </si>
  <si>
    <t>経常利益</t>
    <rPh sb="0" eb="2">
      <t>ケイジョウ</t>
    </rPh>
    <rPh sb="2" eb="4">
      <t>マエリエキ</t>
    </rPh>
    <phoneticPr fontId="6"/>
  </si>
  <si>
    <t>長期借入金</t>
    <rPh sb="0" eb="2">
      <t>チョウキ</t>
    </rPh>
    <rPh sb="2" eb="4">
      <t>カリイレ</t>
    </rPh>
    <rPh sb="4" eb="5">
      <t>キン</t>
    </rPh>
    <phoneticPr fontId="13"/>
  </si>
  <si>
    <t>販売費及び一般管理費</t>
    <rPh sb="0" eb="3">
      <t>ハンバイヒ</t>
    </rPh>
    <rPh sb="3" eb="4">
      <t>オヨ</t>
    </rPh>
    <rPh sb="5" eb="7">
      <t>イッパン</t>
    </rPh>
    <rPh sb="7" eb="10">
      <t>カンリヒ</t>
    </rPh>
    <phoneticPr fontId="6"/>
  </si>
  <si>
    <t>資本金</t>
    <rPh sb="0" eb="3">
      <t>シホンキン</t>
    </rPh>
    <phoneticPr fontId="13"/>
  </si>
  <si>
    <t>固定資産税</t>
    <rPh sb="0" eb="5">
      <t>コテイシ</t>
    </rPh>
    <phoneticPr fontId="6"/>
  </si>
  <si>
    <t>減価償却費</t>
    <rPh sb="0" eb="5">
      <t>ゲンカショウキャクヒ</t>
    </rPh>
    <phoneticPr fontId="6"/>
  </si>
  <si>
    <r>
      <t>[</t>
    </r>
    <r>
      <rPr>
        <sz val="11"/>
        <rFont val="ＭＳ Ｐゴシック"/>
        <family val="3"/>
        <charset val="128"/>
      </rPr>
      <t>固定資産税</t>
    </r>
    <r>
      <rPr>
        <sz val="11"/>
        <rFont val="Tahoma"/>
        <family val="2"/>
      </rPr>
      <t>]</t>
    </r>
    <rPh sb="1" eb="3">
      <t>コテイ</t>
    </rPh>
    <rPh sb="3" eb="5">
      <t>シサン</t>
    </rPh>
    <rPh sb="5" eb="6">
      <t>ゼイキン</t>
    </rPh>
    <phoneticPr fontId="6"/>
  </si>
  <si>
    <t>売上総利益</t>
    <rPh sb="0" eb="2">
      <t>ウリアゲ</t>
    </rPh>
    <rPh sb="2" eb="5">
      <t>ソウリエキ</t>
    </rPh>
    <phoneticPr fontId="6"/>
  </si>
  <si>
    <t>　メーター検定</t>
    <rPh sb="5" eb="7">
      <t>ケンテイ</t>
    </rPh>
    <phoneticPr fontId="6"/>
  </si>
  <si>
    <r>
      <t>[</t>
    </r>
    <r>
      <rPr>
        <sz val="14"/>
        <rFont val="ＭＳ Ｐゴシック"/>
        <family val="3"/>
        <charset val="128"/>
      </rPr>
      <t>損益計算</t>
    </r>
    <r>
      <rPr>
        <sz val="14"/>
        <rFont val="Tahoma"/>
        <family val="2"/>
      </rPr>
      <t>]</t>
    </r>
    <rPh sb="1" eb="3">
      <t>ソンエキ</t>
    </rPh>
    <rPh sb="3" eb="5">
      <t>ケイサン</t>
    </rPh>
    <phoneticPr fontId="6"/>
  </si>
  <si>
    <r>
      <t>営業利益</t>
    </r>
    <r>
      <rPr>
        <sz val="11"/>
        <rFont val="Tahoma"/>
        <family val="2"/>
      </rPr>
      <t/>
    </r>
    <rPh sb="0" eb="2">
      <t>エイギョウ</t>
    </rPh>
    <rPh sb="2" eb="4">
      <t>リエキ</t>
    </rPh>
    <phoneticPr fontId="6"/>
  </si>
  <si>
    <t>時点</t>
    <rPh sb="0" eb="2">
      <t>ジテン</t>
    </rPh>
    <phoneticPr fontId="6"/>
  </si>
  <si>
    <t>営業活動からのキャッシュフロー</t>
    <rPh sb="0" eb="2">
      <t>エイギョウ</t>
    </rPh>
    <rPh sb="2" eb="4">
      <t>カツドウ</t>
    </rPh>
    <phoneticPr fontId="6"/>
  </si>
  <si>
    <t>評価額</t>
    <rPh sb="0" eb="3">
      <t>ヒョウカガク</t>
    </rPh>
    <phoneticPr fontId="6"/>
  </si>
  <si>
    <t>AS</t>
    <phoneticPr fontId="6"/>
  </si>
  <si>
    <t>電気工事外注費</t>
    <rPh sb="0" eb="2">
      <t>デンキカンケイ</t>
    </rPh>
    <rPh sb="2" eb="7">
      <t>コウジガイチュウヒ</t>
    </rPh>
    <phoneticPr fontId="6"/>
  </si>
  <si>
    <t>運転資金の減少</t>
    <rPh sb="0" eb="4">
      <t>ウンテンシキンゾウ</t>
    </rPh>
    <rPh sb="5" eb="7">
      <t>ゲンショウ</t>
    </rPh>
    <phoneticPr fontId="6"/>
  </si>
  <si>
    <t>当期利益</t>
    <rPh sb="0" eb="4">
      <t>トウキリエキ</t>
    </rPh>
    <phoneticPr fontId="6"/>
  </si>
  <si>
    <t>FNC(翌期の期首）</t>
    <rPh sb="4" eb="6">
      <t>ヨクキ</t>
    </rPh>
    <rPh sb="7" eb="8">
      <t>キシュ</t>
    </rPh>
    <rPh sb="8" eb="9">
      <t>ブシュ</t>
    </rPh>
    <phoneticPr fontId="6"/>
  </si>
  <si>
    <t>流動負債</t>
    <rPh sb="0" eb="4">
      <t>リュウドウフサイ</t>
    </rPh>
    <phoneticPr fontId="13"/>
  </si>
  <si>
    <t>月数 (長期融資)</t>
    <rPh sb="0" eb="2">
      <t>ツキスウ</t>
    </rPh>
    <rPh sb="4" eb="6">
      <t>チョウキ</t>
    </rPh>
    <rPh sb="6" eb="8">
      <t>ユウシ</t>
    </rPh>
    <phoneticPr fontId="6"/>
  </si>
  <si>
    <t>固定資産</t>
    <rPh sb="0" eb="4">
      <t>コテイシサン</t>
    </rPh>
    <phoneticPr fontId="13"/>
  </si>
  <si>
    <t>負債・資本</t>
    <rPh sb="0" eb="2">
      <t>フサイ</t>
    </rPh>
    <rPh sb="3" eb="5">
      <t>シホン</t>
    </rPh>
    <phoneticPr fontId="13"/>
  </si>
  <si>
    <t>財務活動からのキャッシュフロー</t>
    <rPh sb="0" eb="2">
      <t>ザイム</t>
    </rPh>
    <rPh sb="2" eb="4">
      <t>カツドウ</t>
    </rPh>
    <phoneticPr fontId="6"/>
  </si>
  <si>
    <t>減価償却費計（PL計上）</t>
    <rPh sb="0" eb="2">
      <t>ゲンカ</t>
    </rPh>
    <rPh sb="2" eb="4">
      <t>ショウキャク</t>
    </rPh>
    <rPh sb="4" eb="5">
      <t>ヒ</t>
    </rPh>
    <rPh sb="5" eb="6">
      <t>ケイ</t>
    </rPh>
    <rPh sb="9" eb="11">
      <t>ケイジョウ</t>
    </rPh>
    <phoneticPr fontId="6"/>
  </si>
  <si>
    <t>営業外収益</t>
    <rPh sb="0" eb="3">
      <t>エイギョウガイ</t>
    </rPh>
    <rPh sb="3" eb="5">
      <t>シュウエキ</t>
    </rPh>
    <phoneticPr fontId="6"/>
  </si>
  <si>
    <t>固定負債</t>
    <rPh sb="0" eb="2">
      <t>コテイ</t>
    </rPh>
    <rPh sb="2" eb="4">
      <t>フサイ</t>
    </rPh>
    <phoneticPr fontId="13"/>
  </si>
  <si>
    <t>減価償却費</t>
    <rPh sb="0" eb="2">
      <t>ゲンカ</t>
    </rPh>
    <rPh sb="2" eb="4">
      <t>ショウキャク</t>
    </rPh>
    <rPh sb="4" eb="5">
      <t>ヒ</t>
    </rPh>
    <phoneticPr fontId="6"/>
  </si>
  <si>
    <t>支払利息</t>
    <rPh sb="0" eb="4">
      <t>シハライリソク</t>
    </rPh>
    <phoneticPr fontId="6"/>
  </si>
  <si>
    <t>月分</t>
    <rPh sb="0" eb="2">
      <t>ゲツブン</t>
    </rPh>
    <phoneticPr fontId="6"/>
  </si>
  <si>
    <t>年度</t>
    <rPh sb="0" eb="2">
      <t>ネンド</t>
    </rPh>
    <phoneticPr fontId="6"/>
  </si>
  <si>
    <t>資産償却関係</t>
    <rPh sb="0" eb="4">
      <t>シサンショウキャク</t>
    </rPh>
    <rPh sb="4" eb="6">
      <t>カンケイ</t>
    </rPh>
    <phoneticPr fontId="6"/>
  </si>
  <si>
    <t>短期借入</t>
    <rPh sb="0" eb="2">
      <t>タンキ</t>
    </rPh>
    <rPh sb="2" eb="4">
      <t>カリイレ</t>
    </rPh>
    <phoneticPr fontId="6"/>
  </si>
  <si>
    <t>☆</t>
    <phoneticPr fontId="6"/>
  </si>
  <si>
    <t>☆</t>
    <phoneticPr fontId="6"/>
  </si>
  <si>
    <t>資金返済</t>
    <rPh sb="0" eb="2">
      <t>シキンヘン</t>
    </rPh>
    <rPh sb="2" eb="4">
      <t>ヘンサイ</t>
    </rPh>
    <phoneticPr fontId="6"/>
  </si>
  <si>
    <t>[貸借対照表]</t>
    <rPh sb="1" eb="3">
      <t>タイシャク</t>
    </rPh>
    <rPh sb="3" eb="5">
      <t>タイショウ</t>
    </rPh>
    <rPh sb="5" eb="6">
      <t>ヒョウ</t>
    </rPh>
    <phoneticPr fontId="6"/>
  </si>
  <si>
    <t>未払金</t>
    <rPh sb="0" eb="1">
      <t>ミ</t>
    </rPh>
    <rPh sb="1" eb="2">
      <t>バラ</t>
    </rPh>
    <rPh sb="2" eb="3">
      <t>キン</t>
    </rPh>
    <phoneticPr fontId="6"/>
  </si>
  <si>
    <t>固定資産税、市民出資現金分配。工事費・開発費（初年度）。</t>
    <rPh sb="0" eb="2">
      <t>コテイ</t>
    </rPh>
    <rPh sb="2" eb="5">
      <t>シサンゼイ</t>
    </rPh>
    <rPh sb="6" eb="10">
      <t>シミンシュッシ</t>
    </rPh>
    <rPh sb="10" eb="14">
      <t>ゲンキンブンパイ</t>
    </rPh>
    <rPh sb="15" eb="18">
      <t>コウジヒ</t>
    </rPh>
    <rPh sb="19" eb="22">
      <t>カイハツヒ</t>
    </rPh>
    <rPh sb="23" eb="26">
      <t>ショネンド</t>
    </rPh>
    <phoneticPr fontId="6"/>
  </si>
  <si>
    <t>合計</t>
    <rPh sb="0" eb="2">
      <t>ゴウケイ</t>
    </rPh>
    <phoneticPr fontId="6"/>
  </si>
  <si>
    <t>点検診断機材</t>
    <rPh sb="0" eb="2">
      <t>テンケン</t>
    </rPh>
    <rPh sb="2" eb="6">
      <t>シンダンキザイ</t>
    </rPh>
    <phoneticPr fontId="6"/>
  </si>
  <si>
    <t>交通費</t>
    <rPh sb="0" eb="3">
      <t>コウツウヒ</t>
    </rPh>
    <phoneticPr fontId="6"/>
  </si>
  <si>
    <t>グリーン電力証書卸販売</t>
    <rPh sb="0" eb="8">
      <t>グリー</t>
    </rPh>
    <rPh sb="8" eb="11">
      <t>オロシハンバイ</t>
    </rPh>
    <phoneticPr fontId="6"/>
  </si>
  <si>
    <t>国内クレジット卸販売</t>
    <rPh sb="0" eb="7">
      <t>コクナイ</t>
    </rPh>
    <rPh sb="7" eb="10">
      <t>オロシ</t>
    </rPh>
    <phoneticPr fontId="6"/>
  </si>
  <si>
    <t>未収消費税</t>
    <rPh sb="0" eb="5">
      <t>ミシュウ</t>
    </rPh>
    <phoneticPr fontId="6"/>
  </si>
  <si>
    <t>保険料</t>
    <rPh sb="0" eb="3">
      <t>ホケンリョウ</t>
    </rPh>
    <phoneticPr fontId="6"/>
  </si>
  <si>
    <t>前払保険料</t>
    <rPh sb="0" eb="2">
      <t>マエバライヒヨウ</t>
    </rPh>
    <rPh sb="2" eb="5">
      <t>ホケンリョウ</t>
    </rPh>
    <phoneticPr fontId="6"/>
  </si>
  <si>
    <t>監視運用費</t>
    <rPh sb="0" eb="2">
      <t>カンシ</t>
    </rPh>
    <rPh sb="2" eb="4">
      <t>ホシュウン</t>
    </rPh>
    <rPh sb="4" eb="5">
      <t>ヒ</t>
    </rPh>
    <phoneticPr fontId="6"/>
  </si>
  <si>
    <t>点検保守費</t>
    <rPh sb="0" eb="5">
      <t>テンケンホシュヒ</t>
    </rPh>
    <phoneticPr fontId="6"/>
  </si>
  <si>
    <t>太陽熱温水、廃熱回収</t>
    <rPh sb="0" eb="5">
      <t>タイヨウ</t>
    </rPh>
    <rPh sb="6" eb="10">
      <t>ハイネ</t>
    </rPh>
    <phoneticPr fontId="6"/>
  </si>
  <si>
    <t>交換機器費</t>
    <rPh sb="0" eb="2">
      <t>コウカン</t>
    </rPh>
    <rPh sb="2" eb="4">
      <t>キキ</t>
    </rPh>
    <rPh sb="4" eb="5">
      <t>キザイヒ</t>
    </rPh>
    <phoneticPr fontId="6"/>
  </si>
  <si>
    <t>/回</t>
    <rPh sb="1" eb="2">
      <t>カイ</t>
    </rPh>
    <phoneticPr fontId="6"/>
  </si>
  <si>
    <t>/日</t>
    <rPh sb="1" eb="2">
      <t>ニチ</t>
    </rPh>
    <phoneticPr fontId="6"/>
  </si>
  <si>
    <t>点検人件費</t>
    <rPh sb="0" eb="2">
      <t>テンケン</t>
    </rPh>
    <rPh sb="2" eb="5">
      <t>ジンケンヒ</t>
    </rPh>
    <phoneticPr fontId="6"/>
  </si>
  <si>
    <t>前提条件</t>
    <rPh sb="0" eb="4">
      <t>ゼンテイジョウケン</t>
    </rPh>
    <phoneticPr fontId="6"/>
  </si>
  <si>
    <t>年２回メンテ</t>
    <rPh sb="0" eb="1">
      <t>ネン</t>
    </rPh>
    <rPh sb="2" eb="3">
      <t>カイ</t>
    </rPh>
    <phoneticPr fontId="6"/>
  </si>
  <si>
    <t>資産</t>
    <rPh sb="0" eb="2">
      <t>シサン</t>
    </rPh>
    <phoneticPr fontId="13"/>
  </si>
  <si>
    <t>[長期融資 - 証書貸付]</t>
    <rPh sb="1" eb="5">
      <t>チョウキ</t>
    </rPh>
    <rPh sb="8" eb="12">
      <t>ショウショカシツケ</t>
    </rPh>
    <phoneticPr fontId="6"/>
  </si>
  <si>
    <t>[短期融資 - 手形貸付]</t>
    <rPh sb="1" eb="3">
      <t>タンキ</t>
    </rPh>
    <rPh sb="3" eb="5">
      <t>チョウキ</t>
    </rPh>
    <rPh sb="8" eb="12">
      <t>テガタ</t>
    </rPh>
    <phoneticPr fontId="6"/>
  </si>
  <si>
    <t>事業年度</t>
    <rPh sb="0" eb="2">
      <t>ジギョウ</t>
    </rPh>
    <rPh sb="2" eb="4">
      <t>ネンド</t>
    </rPh>
    <phoneticPr fontId="6"/>
  </si>
  <si>
    <t>未収金</t>
    <rPh sb="0" eb="3">
      <t>ミシュウキン</t>
    </rPh>
    <phoneticPr fontId="6"/>
  </si>
  <si>
    <t>補助金、売り上げの１月分を未収にする。</t>
    <rPh sb="0" eb="3">
      <t>ホジョキン</t>
    </rPh>
    <rPh sb="4" eb="5">
      <t>ウ</t>
    </rPh>
    <rPh sb="6" eb="7">
      <t>ア</t>
    </rPh>
    <rPh sb="10" eb="12">
      <t>ガツブン</t>
    </rPh>
    <rPh sb="13" eb="15">
      <t>ミシュウ</t>
    </rPh>
    <phoneticPr fontId="6"/>
  </si>
  <si>
    <t>【合算計画】</t>
    <rPh sb="1" eb="5">
      <t>ガッサンケイカク</t>
    </rPh>
    <phoneticPr fontId="6"/>
  </si>
  <si>
    <t>【合算計画】</t>
    <rPh sb="1" eb="5">
      <t>ガッサン</t>
    </rPh>
    <phoneticPr fontId="6"/>
  </si>
  <si>
    <t>[長期融資 - 金銭消費貸借契約]</t>
    <rPh sb="1" eb="5">
      <t>チョウキ</t>
    </rPh>
    <rPh sb="8" eb="14">
      <t>キンセンショウヒタイシャク</t>
    </rPh>
    <rPh sb="14" eb="16">
      <t>ケイヤク</t>
    </rPh>
    <phoneticPr fontId="6"/>
  </si>
  <si>
    <t>元本一時返済</t>
    <rPh sb="0" eb="2">
      <t>ガンポン</t>
    </rPh>
    <rPh sb="2" eb="6">
      <t>イチジヘンサイ</t>
    </rPh>
    <phoneticPr fontId="6"/>
  </si>
  <si>
    <t>補助金、初年度減価償却分</t>
    <rPh sb="0" eb="3">
      <t>ホジョキン</t>
    </rPh>
    <rPh sb="4" eb="7">
      <t>ショネンド</t>
    </rPh>
    <rPh sb="7" eb="11">
      <t>ゲンカ</t>
    </rPh>
    <rPh sb="11" eb="12">
      <t>ブン</t>
    </rPh>
    <phoneticPr fontId="6"/>
  </si>
  <si>
    <t>借入時前引</t>
    <rPh sb="0" eb="3">
      <t>カリイレジ</t>
    </rPh>
    <rPh sb="3" eb="5">
      <t>マエヒ</t>
    </rPh>
    <phoneticPr fontId="6"/>
  </si>
  <si>
    <t>外注費</t>
    <rPh sb="0" eb="3">
      <t>ガイチュウヒ</t>
    </rPh>
    <phoneticPr fontId="6"/>
  </si>
  <si>
    <t>人件費</t>
    <rPh sb="0" eb="3">
      <t>ジンケンヒ</t>
    </rPh>
    <phoneticPr fontId="6"/>
  </si>
  <si>
    <t>機器種別</t>
    <rPh sb="0" eb="4">
      <t>キキシュベツ</t>
    </rPh>
    <phoneticPr fontId="6"/>
  </si>
  <si>
    <t>内容</t>
    <rPh sb="0" eb="2">
      <t>ナイヨウ</t>
    </rPh>
    <phoneticPr fontId="6"/>
  </si>
  <si>
    <t>価格</t>
    <rPh sb="0" eb="2">
      <t>カカク</t>
    </rPh>
    <phoneticPr fontId="6"/>
  </si>
  <si>
    <t>t</t>
    <phoneticPr fontId="6"/>
  </si>
  <si>
    <t>資産期末残高（B/S)</t>
    <rPh sb="0" eb="2">
      <t>シサン</t>
    </rPh>
    <rPh sb="2" eb="4">
      <t>キマツ</t>
    </rPh>
    <rPh sb="4" eb="6">
      <t>ザンダカ</t>
    </rPh>
    <phoneticPr fontId="6"/>
  </si>
  <si>
    <t>☆</t>
    <phoneticPr fontId="6"/>
  </si>
  <si>
    <t>点検</t>
    <rPh sb="0" eb="2">
      <t>テンケン</t>
    </rPh>
    <phoneticPr fontId="6"/>
  </si>
  <si>
    <t>費用</t>
    <rPh sb="0" eb="2">
      <t>ヒヨウ</t>
    </rPh>
    <phoneticPr fontId="6"/>
  </si>
  <si>
    <t>業務発生確率</t>
    <rPh sb="0" eb="6">
      <t>ギョウムハッセイカクリツ</t>
    </rPh>
    <phoneticPr fontId="6"/>
  </si>
  <si>
    <t>/回</t>
  </si>
  <si>
    <t>利益剰余金</t>
    <rPh sb="0" eb="5">
      <t>リエキジョウヨキン</t>
    </rPh>
    <phoneticPr fontId="13"/>
  </si>
  <si>
    <r>
      <t>[</t>
    </r>
    <r>
      <rPr>
        <sz val="11"/>
        <rFont val="ＭＳ Ｐゴシック"/>
        <family val="3"/>
        <charset val="128"/>
      </rPr>
      <t>固定資産－会計上</t>
    </r>
    <r>
      <rPr>
        <sz val="11"/>
        <rFont val="Tahoma"/>
        <family val="2"/>
      </rPr>
      <t>]</t>
    </r>
    <rPh sb="1" eb="3">
      <t>コテイ</t>
    </rPh>
    <rPh sb="3" eb="5">
      <t>シサン</t>
    </rPh>
    <rPh sb="6" eb="8">
      <t>カイケイ</t>
    </rPh>
    <rPh sb="8" eb="9">
      <t>ジョウ</t>
    </rPh>
    <phoneticPr fontId="6"/>
  </si>
  <si>
    <t>売上高</t>
    <rPh sb="0" eb="2">
      <t>ウリアゲ</t>
    </rPh>
    <rPh sb="2" eb="3">
      <t>ダカ</t>
    </rPh>
    <phoneticPr fontId="6"/>
  </si>
  <si>
    <t>期初現預金残高</t>
    <rPh sb="0" eb="1">
      <t>キ</t>
    </rPh>
    <rPh sb="1" eb="2">
      <t>ショ</t>
    </rPh>
    <rPh sb="2" eb="3">
      <t>ゲン</t>
    </rPh>
    <rPh sb="3" eb="5">
      <t>ヨキン</t>
    </rPh>
    <rPh sb="5" eb="7">
      <t>ザンダカ</t>
    </rPh>
    <phoneticPr fontId="6"/>
  </si>
  <si>
    <t>投資活動</t>
    <rPh sb="0" eb="2">
      <t>トウシ</t>
    </rPh>
    <rPh sb="2" eb="4">
      <t>カツドウ</t>
    </rPh>
    <phoneticPr fontId="6"/>
  </si>
  <si>
    <t>固定資産税(課税額）</t>
    <rPh sb="0" eb="5">
      <t>コテイ</t>
    </rPh>
    <rPh sb="6" eb="9">
      <t>カゼイガク</t>
    </rPh>
    <phoneticPr fontId="6"/>
  </si>
  <si>
    <t>初年度の分は次年度とする(収入不足)</t>
    <rPh sb="0" eb="3">
      <t>ショネンド</t>
    </rPh>
    <rPh sb="4" eb="5">
      <t>ブン</t>
    </rPh>
    <rPh sb="6" eb="9">
      <t>ジネンド</t>
    </rPh>
    <rPh sb="13" eb="15">
      <t>シュウニュウ</t>
    </rPh>
    <rPh sb="15" eb="17">
      <t>フソク</t>
    </rPh>
    <phoneticPr fontId="6"/>
  </si>
  <si>
    <t>未払消費税</t>
    <rPh sb="0" eb="2">
      <t>ミバラ</t>
    </rPh>
    <rPh sb="2" eb="5">
      <t>ショウヒゼイ</t>
    </rPh>
    <phoneticPr fontId="6"/>
  </si>
  <si>
    <t>設備投資による支出</t>
    <rPh sb="0" eb="2">
      <t>セツビ</t>
    </rPh>
    <rPh sb="2" eb="4">
      <t>トウシ</t>
    </rPh>
    <rPh sb="7" eb="9">
      <t>シシュツ</t>
    </rPh>
    <phoneticPr fontId="13"/>
  </si>
  <si>
    <t>　防水補強</t>
    <rPh sb="1" eb="5">
      <t>ボウスイホキョウ</t>
    </rPh>
    <phoneticPr fontId="6"/>
  </si>
  <si>
    <t>販売・一般管理費</t>
    <rPh sb="0" eb="2">
      <t>ハンバイヒ</t>
    </rPh>
    <rPh sb="3" eb="7">
      <t>イッパンカンリ</t>
    </rPh>
    <rPh sb="7" eb="8">
      <t>ヒ</t>
    </rPh>
    <phoneticPr fontId="6"/>
  </si>
  <si>
    <t>営業活動</t>
    <rPh sb="0" eb="2">
      <t>エイギョウ</t>
    </rPh>
    <rPh sb="2" eb="4">
      <t>カツドウ</t>
    </rPh>
    <phoneticPr fontId="6"/>
  </si>
  <si>
    <t>kW</t>
    <phoneticPr fontId="6"/>
  </si>
  <si>
    <t>年間発電量</t>
    <rPh sb="0" eb="2">
      <t>ネンカン</t>
    </rPh>
    <rPh sb="2" eb="5">
      <t>ハツデンリョウ</t>
    </rPh>
    <phoneticPr fontId="6"/>
  </si>
  <si>
    <t>kWh</t>
    <phoneticPr fontId="6"/>
  </si>
  <si>
    <t>補助金合計</t>
    <rPh sb="0" eb="3">
      <t>ホジョキン</t>
    </rPh>
    <rPh sb="3" eb="5">
      <t>ゴウケイ</t>
    </rPh>
    <phoneticPr fontId="6"/>
  </si>
  <si>
    <t>国</t>
    <rPh sb="0" eb="1">
      <t>クニ</t>
    </rPh>
    <phoneticPr fontId="6"/>
  </si>
  <si>
    <t>都道府県</t>
    <rPh sb="0" eb="4">
      <t>トドウフケン</t>
    </rPh>
    <phoneticPr fontId="6"/>
  </si>
  <si>
    <t>市区町村</t>
    <rPh sb="0" eb="4">
      <t>シクチョウソン</t>
    </rPh>
    <phoneticPr fontId="6"/>
  </si>
  <si>
    <t>%</t>
    <phoneticPr fontId="6"/>
  </si>
  <si>
    <t>■固定値</t>
    <rPh sb="1" eb="4">
      <t>コテイチ</t>
    </rPh>
    <phoneticPr fontId="6"/>
  </si>
  <si>
    <t>売電単価(FIT)</t>
    <rPh sb="0" eb="2">
      <t>バイデン</t>
    </rPh>
    <rPh sb="2" eb="4">
      <t>タンカ</t>
    </rPh>
    <phoneticPr fontId="6"/>
  </si>
  <si>
    <t>円/kWh</t>
    <rPh sb="0" eb="1">
      <t>エン</t>
    </rPh>
    <phoneticPr fontId="6"/>
  </si>
  <si>
    <t>G電証書単価</t>
    <rPh sb="1" eb="2">
      <t>デン</t>
    </rPh>
    <rPh sb="2" eb="4">
      <t>ショウショ</t>
    </rPh>
    <rPh sb="4" eb="6">
      <t>タンカ</t>
    </rPh>
    <phoneticPr fontId="6"/>
  </si>
  <si>
    <t>販管費率</t>
    <rPh sb="0" eb="4">
      <t>ハンカンヒリツ</t>
    </rPh>
    <phoneticPr fontId="6"/>
  </si>
  <si>
    <t>自家消費率</t>
    <rPh sb="0" eb="5">
      <t>ジカショウヒリツ</t>
    </rPh>
    <phoneticPr fontId="6"/>
  </si>
  <si>
    <t>G電販売収入</t>
    <rPh sb="1" eb="2">
      <t>デン</t>
    </rPh>
    <rPh sb="2" eb="4">
      <t>ハンバイ</t>
    </rPh>
    <rPh sb="4" eb="6">
      <t>シュウニュウ</t>
    </rPh>
    <phoneticPr fontId="6"/>
  </si>
  <si>
    <t>■計算値</t>
    <rPh sb="1" eb="4">
      <t>ケイサンチ</t>
    </rPh>
    <phoneticPr fontId="6"/>
  </si>
  <si>
    <t>売電収入(FIT)</t>
    <rPh sb="0" eb="2">
      <t>ウリデン</t>
    </rPh>
    <rPh sb="2" eb="4">
      <t>シュウニュウ</t>
    </rPh>
    <phoneticPr fontId="6"/>
  </si>
  <si>
    <t>買電置換</t>
    <rPh sb="0" eb="2">
      <t>バイデン</t>
    </rPh>
    <rPh sb="2" eb="4">
      <t>チカン</t>
    </rPh>
    <phoneticPr fontId="6"/>
  </si>
  <si>
    <t>ユーザー収入(FIT)</t>
    <rPh sb="4" eb="6">
      <t>シュウニュウ</t>
    </rPh>
    <phoneticPr fontId="6"/>
  </si>
  <si>
    <t>ユーザー収入(通常)</t>
    <rPh sb="4" eb="6">
      <t>シュウニュウ</t>
    </rPh>
    <rPh sb="7" eb="9">
      <t>ツウジョウ</t>
    </rPh>
    <phoneticPr fontId="6"/>
  </si>
  <si>
    <t>売電単価（通常）</t>
    <rPh sb="0" eb="2">
      <t>バイデンタンカ</t>
    </rPh>
    <rPh sb="2" eb="4">
      <t>タンカ</t>
    </rPh>
    <rPh sb="5" eb="7">
      <t>ツウジョウ</t>
    </rPh>
    <phoneticPr fontId="6"/>
  </si>
  <si>
    <t>FIT期間</t>
    <rPh sb="3" eb="5">
      <t>キカン</t>
    </rPh>
    <phoneticPr fontId="6"/>
  </si>
  <si>
    <t>融資利率</t>
    <rPh sb="0" eb="2">
      <t>ユウシ</t>
    </rPh>
    <rPh sb="2" eb="4">
      <t>リリツ</t>
    </rPh>
    <phoneticPr fontId="6"/>
  </si>
  <si>
    <t>設置サイト数</t>
    <rPh sb="0" eb="2">
      <t>セッチ</t>
    </rPh>
    <rPh sb="5" eb="6">
      <t>メンスウ</t>
    </rPh>
    <phoneticPr fontId="6"/>
  </si>
  <si>
    <t>設置サイト数</t>
    <rPh sb="0" eb="2">
      <t>セッチ</t>
    </rPh>
    <rPh sb="5" eb="6">
      <t>スウ</t>
    </rPh>
    <phoneticPr fontId="6"/>
  </si>
  <si>
    <t>箇所</t>
    <rPh sb="0" eb="2">
      <t>カショ</t>
    </rPh>
    <phoneticPr fontId="6"/>
  </si>
  <si>
    <t>円</t>
    <rPh sb="0" eb="1">
      <t>エン</t>
    </rPh>
    <phoneticPr fontId="6"/>
  </si>
  <si>
    <t>kW設置を想定</t>
    <phoneticPr fontId="6"/>
  </si>
  <si>
    <t>【地域NPO】</t>
    <rPh sb="1" eb="3">
      <t>チイキ</t>
    </rPh>
    <phoneticPr fontId="6"/>
  </si>
  <si>
    <t>事業年度</t>
    <rPh sb="0" eb="4">
      <t>ジギョウネンド</t>
    </rPh>
    <phoneticPr fontId="6"/>
  </si>
  <si>
    <t>償却対象額</t>
    <rPh sb="0" eb="5">
      <t>ショウキャクタイショウガク</t>
    </rPh>
    <phoneticPr fontId="6"/>
  </si>
  <si>
    <t>耐用年数</t>
    <rPh sb="0" eb="4">
      <t>タイヨウネンスウ</t>
    </rPh>
    <phoneticPr fontId="6"/>
  </si>
  <si>
    <t>償却率</t>
    <rPh sb="0" eb="2">
      <t>ショウキャク</t>
    </rPh>
    <rPh sb="2" eb="3">
      <t>リツ</t>
    </rPh>
    <phoneticPr fontId="6"/>
  </si>
  <si>
    <r>
      <t>取得</t>
    </r>
    <r>
      <rPr>
        <sz val="11"/>
        <rFont val="ＭＳ Ｐゴシック"/>
        <family val="3"/>
        <charset val="128"/>
      </rPr>
      <t>価格</t>
    </r>
    <rPh sb="0" eb="2">
      <t>シュトク</t>
    </rPh>
    <rPh sb="2" eb="4">
      <t>カカク</t>
    </rPh>
    <phoneticPr fontId="6"/>
  </si>
  <si>
    <r>
      <t>201</t>
    </r>
    <r>
      <rPr>
        <sz val="11"/>
        <rFont val="ＭＳ Ｐゴシック"/>
        <family val="3"/>
        <charset val="128"/>
      </rPr>
      <t>3</t>
    </r>
    <r>
      <rPr>
        <sz val="11"/>
        <rFont val="ＭＳ Ｐゴシック"/>
        <family val="3"/>
        <charset val="128"/>
      </rPr>
      <t>/1/</t>
    </r>
    <r>
      <rPr>
        <sz val="11"/>
        <rFont val="ＭＳ Ｐゴシック"/>
        <family val="3"/>
        <charset val="128"/>
      </rPr>
      <t>1</t>
    </r>
    <r>
      <rPr>
        <sz val="11"/>
        <rFont val="ＭＳ Ｐゴシック"/>
        <family val="3"/>
        <charset val="128"/>
      </rPr>
      <t>取得</t>
    </r>
    <rPh sb="8" eb="10">
      <t>シュトク</t>
    </rPh>
    <phoneticPr fontId="6"/>
  </si>
  <si>
    <t>稼働率</t>
    <rPh sb="0" eb="3">
      <t>カドウリツ</t>
    </rPh>
    <phoneticPr fontId="6"/>
  </si>
  <si>
    <t>%</t>
    <phoneticPr fontId="6"/>
  </si>
  <si>
    <t>低圧契約施設への売電単価</t>
    <rPh sb="0" eb="2">
      <t>テイアツ</t>
    </rPh>
    <rPh sb="2" eb="4">
      <t>ケイヤク</t>
    </rPh>
    <rPh sb="4" eb="6">
      <t>シセツ</t>
    </rPh>
    <rPh sb="8" eb="10">
      <t>バイデン</t>
    </rPh>
    <rPh sb="10" eb="12">
      <t>タンカ</t>
    </rPh>
    <phoneticPr fontId="6"/>
  </si>
  <si>
    <t>土木工事費</t>
    <rPh sb="0" eb="2">
      <t>ドボク</t>
    </rPh>
    <rPh sb="2" eb="5">
      <t>コウジヒ</t>
    </rPh>
    <phoneticPr fontId="6"/>
  </si>
  <si>
    <t>機械装置</t>
    <rPh sb="0" eb="4">
      <t>キカイソウチ</t>
    </rPh>
    <phoneticPr fontId="6"/>
  </si>
  <si>
    <t>その他</t>
    <rPh sb="2" eb="3">
      <t>タ</t>
    </rPh>
    <phoneticPr fontId="6"/>
  </si>
  <si>
    <t>事業費W単価</t>
    <rPh sb="0" eb="3">
      <t>ジギョウヒ</t>
    </rPh>
    <rPh sb="4" eb="6">
      <t>タンカ</t>
    </rPh>
    <phoneticPr fontId="6"/>
  </si>
  <si>
    <t>設計費</t>
    <rPh sb="0" eb="2">
      <t>セッケイ</t>
    </rPh>
    <rPh sb="2" eb="3">
      <t>ヒ</t>
    </rPh>
    <phoneticPr fontId="6"/>
  </si>
  <si>
    <t>小水力発電</t>
    <rPh sb="0" eb="3">
      <t>ショウスイリョク</t>
    </rPh>
    <rPh sb="3" eb="5">
      <t>ハツデン</t>
    </rPh>
    <phoneticPr fontId="6"/>
  </si>
  <si>
    <t>構造用途</t>
  </si>
  <si>
    <t>法定耐用年数</t>
  </si>
  <si>
    <t>発電用</t>
  </si>
  <si>
    <t>汽力発電用（岸壁、さん橋、堤防、防波堤、煙突､その他</t>
  </si>
  <si>
    <t>送電用</t>
  </si>
  <si>
    <t>地中電線路</t>
  </si>
  <si>
    <t>塔、柱、がい子、送電線、地線、添加電話線</t>
  </si>
  <si>
    <t>配電用</t>
  </si>
  <si>
    <t>鉄塔、鉄柱</t>
  </si>
  <si>
    <t>鉄筋コンクリート柱</t>
  </si>
  <si>
    <t>木柱</t>
  </si>
  <si>
    <t>配電線</t>
  </si>
  <si>
    <t>引込線</t>
  </si>
  <si>
    <t>添架電話線</t>
  </si>
  <si>
    <t>その他の水力発電設備</t>
  </si>
  <si>
    <t>汽力発電設備</t>
  </si>
  <si>
    <t>内燃力又はガスタービン発電設備</t>
  </si>
  <si>
    <t>需要者用計器</t>
  </si>
  <si>
    <t>柱上変圧器</t>
  </si>
  <si>
    <t>その他の設備</t>
  </si>
  <si>
    <t>蓄電池電源設備</t>
  </si>
  <si>
    <t>れんが、石、ブロック</t>
  </si>
  <si>
    <t>木骨モルタル造</t>
  </si>
  <si>
    <t>建物付属設備の法定耐用年数表</t>
  </si>
  <si>
    <t>電気設備</t>
  </si>
  <si>
    <t>その他のもの</t>
  </si>
  <si>
    <t>財務計画 長野県小水力</t>
    <rPh sb="0" eb="2">
      <t>ザイム</t>
    </rPh>
    <rPh sb="2" eb="4">
      <t>スウチケイカク</t>
    </rPh>
    <phoneticPr fontId="6"/>
  </si>
  <si>
    <t>小水力</t>
    <rPh sb="0" eb="3">
      <t>ショウスイリョク</t>
    </rPh>
    <phoneticPr fontId="6"/>
  </si>
  <si>
    <t>売電</t>
    <rPh sb="0" eb="2">
      <t>バイデン</t>
    </rPh>
    <phoneticPr fontId="6"/>
  </si>
  <si>
    <t>その他事業</t>
    <rPh sb="2" eb="3">
      <t>タ</t>
    </rPh>
    <rPh sb="3" eb="5">
      <t>ジギョウ</t>
    </rPh>
    <phoneticPr fontId="6"/>
  </si>
  <si>
    <t>小水力発電発電</t>
    <rPh sb="0" eb="1">
      <t>ショウ</t>
    </rPh>
    <rPh sb="1" eb="3">
      <t>スイリョク</t>
    </rPh>
    <rPh sb="3" eb="5">
      <t>ハツデン</t>
    </rPh>
    <rPh sb="5" eb="7">
      <t>ハツデン</t>
    </rPh>
    <phoneticPr fontId="6"/>
  </si>
  <si>
    <t>水力発電</t>
    <rPh sb="0" eb="2">
      <t>スイリョク</t>
    </rPh>
    <rPh sb="2" eb="4">
      <t>ハツデン</t>
    </rPh>
    <phoneticPr fontId="6"/>
  </si>
  <si>
    <t>系統連系費用</t>
    <rPh sb="0" eb="2">
      <t>ケイトウ</t>
    </rPh>
    <rPh sb="2" eb="6">
      <t>レンケイヒヨウ</t>
    </rPh>
    <phoneticPr fontId="6"/>
  </si>
  <si>
    <t>用地取得</t>
    <rPh sb="0" eb="4">
      <t>ヨウチシュトク</t>
    </rPh>
    <phoneticPr fontId="6"/>
  </si>
  <si>
    <t>円</t>
    <rPh sb="0" eb="1">
      <t>エン</t>
    </rPh>
    <phoneticPr fontId="6"/>
  </si>
  <si>
    <t>電力契約諸費用</t>
    <rPh sb="0" eb="2">
      <t>デンリョク</t>
    </rPh>
    <rPh sb="2" eb="4">
      <t>ケイヤク</t>
    </rPh>
    <rPh sb="4" eb="7">
      <t>ショヒヨウ</t>
    </rPh>
    <phoneticPr fontId="6"/>
  </si>
  <si>
    <t>小水力発電  点検保守費 内訳</t>
    <rPh sb="0" eb="1">
      <t>ショウ</t>
    </rPh>
    <rPh sb="1" eb="3">
      <t>スイリョク</t>
    </rPh>
    <rPh sb="3" eb="5">
      <t>ハツデン</t>
    </rPh>
    <rPh sb="7" eb="9">
      <t>テンケン</t>
    </rPh>
    <rPh sb="9" eb="11">
      <t>ホシュ</t>
    </rPh>
    <rPh sb="11" eb="12">
      <t>ヒ</t>
    </rPh>
    <rPh sb="13" eb="15">
      <t>ウチワケ</t>
    </rPh>
    <phoneticPr fontId="6"/>
  </si>
  <si>
    <t>水車部品交換工事外注費</t>
    <rPh sb="0" eb="2">
      <t>スイシャ</t>
    </rPh>
    <rPh sb="2" eb="4">
      <t>ブヒン</t>
    </rPh>
    <rPh sb="4" eb="6">
      <t>コウカン</t>
    </rPh>
    <rPh sb="6" eb="11">
      <t>コウジガイチュウヒ</t>
    </rPh>
    <phoneticPr fontId="6"/>
  </si>
  <si>
    <t>水車部品交換工事外注費</t>
    <rPh sb="0" eb="2">
      <t>ミズグルマ</t>
    </rPh>
    <rPh sb="2" eb="4">
      <t>ブヒン</t>
    </rPh>
    <rPh sb="4" eb="6">
      <t>コウカン</t>
    </rPh>
    <rPh sb="6" eb="8">
      <t>コウジ</t>
    </rPh>
    <rPh sb="8" eb="11">
      <t>ガイチュウヒ</t>
    </rPh>
    <phoneticPr fontId="6"/>
  </si>
  <si>
    <t>電気工事外注費</t>
    <phoneticPr fontId="6"/>
  </si>
  <si>
    <t>大規模修繕</t>
    <rPh sb="0" eb="3">
      <t>ダイキボ</t>
    </rPh>
    <rPh sb="3" eb="5">
      <t>シュウゼン</t>
    </rPh>
    <phoneticPr fontId="6"/>
  </si>
  <si>
    <t>大規模修繕</t>
    <rPh sb="0" eb="3">
      <t>ダイキボ</t>
    </rPh>
    <rPh sb="3" eb="5">
      <t>シュウゼン</t>
    </rPh>
    <phoneticPr fontId="6"/>
  </si>
  <si>
    <t>沈砂池の砂を流す</t>
    <rPh sb="0" eb="3">
      <t>チンサチ</t>
    </rPh>
    <rPh sb="4" eb="5">
      <t>スナ</t>
    </rPh>
    <rPh sb="6" eb="7">
      <t>ナガ</t>
    </rPh>
    <phoneticPr fontId="6"/>
  </si>
  <si>
    <t>水力発電設備</t>
    <rPh sb="0" eb="6">
      <t>スイリョクハツデンセツビ</t>
    </rPh>
    <phoneticPr fontId="6"/>
  </si>
  <si>
    <t>建屋</t>
    <rPh sb="0" eb="2">
      <t>タテヤ</t>
    </rPh>
    <phoneticPr fontId="6"/>
  </si>
  <si>
    <t>小水力発電・後金</t>
    <rPh sb="0" eb="1">
      <t>ショウ</t>
    </rPh>
    <rPh sb="1" eb="3">
      <t>スイリョク</t>
    </rPh>
    <rPh sb="3" eb="5">
      <t>ハツデン</t>
    </rPh>
    <rPh sb="6" eb="8">
      <t>アトキン</t>
    </rPh>
    <phoneticPr fontId="6"/>
  </si>
  <si>
    <t>遠隔監視</t>
    <rPh sb="0" eb="4">
      <t>エンカクカンシ</t>
    </rPh>
    <phoneticPr fontId="6"/>
  </si>
  <si>
    <t>/月</t>
    <rPh sb="1" eb="2">
      <t>ツキ</t>
    </rPh>
    <phoneticPr fontId="6"/>
  </si>
  <si>
    <t>固定資産税率</t>
    <rPh sb="0" eb="6">
      <t>コテイシサンゼイリツ</t>
    </rPh>
    <phoneticPr fontId="6"/>
  </si>
  <si>
    <t>%</t>
    <phoneticPr fontId="6"/>
  </si>
  <si>
    <t>共済保険</t>
    <rPh sb="0" eb="2">
      <t>キョウサイ</t>
    </rPh>
    <rPh sb="2" eb="4">
      <t>ホケン</t>
    </rPh>
    <phoneticPr fontId="6"/>
  </si>
  <si>
    <t>共済責任額</t>
    <rPh sb="0" eb="2">
      <t>キョウサイ</t>
    </rPh>
    <rPh sb="2" eb="4">
      <t>セキニン</t>
    </rPh>
    <rPh sb="4" eb="5">
      <t>ガク</t>
    </rPh>
    <phoneticPr fontId="6"/>
  </si>
  <si>
    <t>再調達価額</t>
    <rPh sb="0" eb="3">
      <t>サイチョウタツ</t>
    </rPh>
    <rPh sb="3" eb="5">
      <t>カガク</t>
    </rPh>
    <phoneticPr fontId="6"/>
  </si>
  <si>
    <t>法人税</t>
    <rPh sb="0" eb="3">
      <t>ホウジンゼイ</t>
    </rPh>
    <phoneticPr fontId="6"/>
  </si>
  <si>
    <t>税引き後当期利益</t>
    <rPh sb="0" eb="2">
      <t>ゼイビ</t>
    </rPh>
    <rPh sb="3" eb="4">
      <t>ゴ</t>
    </rPh>
    <rPh sb="4" eb="6">
      <t>トウキ</t>
    </rPh>
    <rPh sb="6" eb="8">
      <t>リエキ</t>
    </rPh>
    <phoneticPr fontId="6"/>
  </si>
  <si>
    <t>土地補償費</t>
    <rPh sb="0" eb="5">
      <t>トチホショウヒ</t>
    </rPh>
    <phoneticPr fontId="6"/>
  </si>
  <si>
    <t>発電所建物</t>
  </si>
  <si>
    <t>取水ダム</t>
  </si>
  <si>
    <t>取水口</t>
    <phoneticPr fontId="6"/>
  </si>
  <si>
    <t>沈砂池</t>
    <rPh sb="2" eb="3">
      <t>イケ</t>
    </rPh>
    <phoneticPr fontId="6"/>
  </si>
  <si>
    <t>放水口</t>
    <phoneticPr fontId="6"/>
  </si>
  <si>
    <t>機械装置基礎</t>
    <phoneticPr fontId="6"/>
  </si>
  <si>
    <t>有効落差</t>
    <rPh sb="0" eb="4">
      <t>ユウコウラクサ</t>
    </rPh>
    <phoneticPr fontId="6"/>
  </si>
  <si>
    <t>最大使用水量</t>
    <rPh sb="0" eb="6">
      <t>サイダイシヨウスイリョウ</t>
    </rPh>
    <phoneticPr fontId="6"/>
  </si>
  <si>
    <t>m3/s</t>
    <phoneticPr fontId="6"/>
  </si>
  <si>
    <t>設備容量 (kW)</t>
    <phoneticPr fontId="6"/>
  </si>
  <si>
    <t xml:space="preserve"> 取水ダムの工事費の設定 </t>
    <phoneticPr fontId="6"/>
  </si>
  <si>
    <t>導水路</t>
    <rPh sb="0" eb="3">
      <t>ドウスイロ</t>
    </rPh>
    <phoneticPr fontId="6"/>
  </si>
  <si>
    <t>導水路延長</t>
    <rPh sb="0" eb="3">
      <t>ドウスイロ</t>
    </rPh>
    <rPh sb="3" eb="5">
      <t>エンチョウ</t>
    </rPh>
    <phoneticPr fontId="6"/>
  </si>
  <si>
    <t>　√幅×高さ</t>
    <rPh sb="2" eb="3">
      <t>ハバ</t>
    </rPh>
    <rPh sb="4" eb="5">
      <t>タカ</t>
    </rPh>
    <phoneticPr fontId="6"/>
  </si>
  <si>
    <t>m</t>
    <phoneticPr fontId="6"/>
  </si>
  <si>
    <t>水槽形式</t>
    <rPh sb="0" eb="2">
      <t>スイソウ</t>
    </rPh>
    <rPh sb="2" eb="4">
      <t>ケイシキ</t>
    </rPh>
    <phoneticPr fontId="6"/>
  </si>
  <si>
    <t>水槽</t>
    <rPh sb="0" eb="2">
      <t>スイソウ</t>
    </rPh>
    <phoneticPr fontId="6"/>
  </si>
  <si>
    <t>サージタンク水深</t>
    <rPh sb="6" eb="8">
      <t>スイシン</t>
    </rPh>
    <phoneticPr fontId="6"/>
  </si>
  <si>
    <t>サージタンク水路延長</t>
    <rPh sb="6" eb="8">
      <t>スイロ</t>
    </rPh>
    <rPh sb="8" eb="10">
      <t>エンチョウ</t>
    </rPh>
    <phoneticPr fontId="6"/>
  </si>
  <si>
    <t>m</t>
    <phoneticPr fontId="6"/>
  </si>
  <si>
    <t>導水路敷設方式</t>
    <rPh sb="0" eb="3">
      <t>ドウスイロ</t>
    </rPh>
    <rPh sb="3" eb="5">
      <t>フセツ</t>
    </rPh>
    <rPh sb="5" eb="7">
      <t>ホウシキ</t>
    </rPh>
    <phoneticPr fontId="6"/>
  </si>
  <si>
    <t>放水路延長</t>
    <rPh sb="0" eb="3">
      <t>ホウスイロ</t>
    </rPh>
    <rPh sb="3" eb="5">
      <t>エンチョウ</t>
    </rPh>
    <phoneticPr fontId="6"/>
  </si>
  <si>
    <t>水圧管種類１</t>
    <rPh sb="0" eb="2">
      <t>スイアツカン</t>
    </rPh>
    <rPh sb="2" eb="3">
      <t>クダ</t>
    </rPh>
    <rPh sb="3" eb="5">
      <t>シュルイ</t>
    </rPh>
    <phoneticPr fontId="6"/>
  </si>
  <si>
    <t>水圧管敷設方式２</t>
    <rPh sb="0" eb="2">
      <t>スイアツカン</t>
    </rPh>
    <rPh sb="2" eb="3">
      <t>クダ</t>
    </rPh>
    <phoneticPr fontId="6"/>
  </si>
  <si>
    <t>水圧管敷設方式１</t>
    <rPh sb="0" eb="2">
      <t>スイアツカン</t>
    </rPh>
    <rPh sb="2" eb="3">
      <t>クダ</t>
    </rPh>
    <phoneticPr fontId="6"/>
  </si>
  <si>
    <t>水圧管延長１</t>
    <rPh sb="0" eb="2">
      <t>スイアツカン</t>
    </rPh>
    <rPh sb="2" eb="3">
      <t>クダ</t>
    </rPh>
    <rPh sb="3" eb="5">
      <t>エンチョウ</t>
    </rPh>
    <phoneticPr fontId="6"/>
  </si>
  <si>
    <t>水圧管種類２</t>
    <rPh sb="0" eb="2">
      <t>スイアツカン</t>
    </rPh>
    <rPh sb="2" eb="3">
      <t>クダ</t>
    </rPh>
    <rPh sb="3" eb="5">
      <t>シュルイ</t>
    </rPh>
    <phoneticPr fontId="6"/>
  </si>
  <si>
    <t>水圧管延長２</t>
    <rPh sb="0" eb="2">
      <t>スイアツカン</t>
    </rPh>
    <rPh sb="2" eb="3">
      <t>クダ</t>
    </rPh>
    <rPh sb="3" eb="5">
      <t>エンチョウ</t>
    </rPh>
    <phoneticPr fontId="6"/>
  </si>
  <si>
    <t>鉄管以外</t>
  </si>
  <si>
    <t>水圧管路１</t>
    <rPh sb="0" eb="2">
      <t>スイアツ</t>
    </rPh>
    <rPh sb="2" eb="4">
      <t>カンロ</t>
    </rPh>
    <phoneticPr fontId="6"/>
  </si>
  <si>
    <t>水圧管路２</t>
    <rPh sb="0" eb="2">
      <t>スイアツ</t>
    </rPh>
    <rPh sb="2" eb="4">
      <t>カンロ</t>
    </rPh>
    <phoneticPr fontId="6"/>
  </si>
  <si>
    <t>水圧管路鉄管単位長重量(t/m)</t>
    <rPh sb="0" eb="4">
      <t>スイアツカンロ</t>
    </rPh>
    <rPh sb="4" eb="6">
      <t>テッカン</t>
    </rPh>
    <rPh sb="6" eb="9">
      <t>タンイチョウ</t>
    </rPh>
    <rPh sb="9" eb="11">
      <t>ジュウリョウ</t>
    </rPh>
    <phoneticPr fontId="6"/>
  </si>
  <si>
    <t>水圧管路鉄管単位長重量算定表</t>
    <rPh sb="11" eb="14">
      <t>サンテイヒョウ</t>
    </rPh>
    <phoneticPr fontId="6"/>
  </si>
  <si>
    <t>水圧管路内径算定表</t>
    <rPh sb="0" eb="4">
      <t>スイアツカンロ</t>
    </rPh>
    <rPh sb="4" eb="6">
      <t>ナイケイ</t>
    </rPh>
    <rPh sb="6" eb="9">
      <t>サンテイヒョウ</t>
    </rPh>
    <phoneticPr fontId="6"/>
  </si>
  <si>
    <t>放水路敷設方式</t>
    <rPh sb="0" eb="3">
      <t>ホウスイロ</t>
    </rPh>
    <rPh sb="3" eb="5">
      <t>フセツ</t>
    </rPh>
    <rPh sb="5" eb="7">
      <t>ホウシキ</t>
    </rPh>
    <phoneticPr fontId="6"/>
  </si>
  <si>
    <t>工事費(円)</t>
    <rPh sb="4" eb="5">
      <t>エン</t>
    </rPh>
    <phoneticPr fontId="6"/>
  </si>
  <si>
    <t>水圧管路鉄管単価１</t>
    <rPh sb="0" eb="4">
      <t>スイアツカンロ</t>
    </rPh>
    <rPh sb="4" eb="6">
      <t>テツクダ</t>
    </rPh>
    <rPh sb="6" eb="8">
      <t>タンカ</t>
    </rPh>
    <phoneticPr fontId="6"/>
  </si>
  <si>
    <t>鉄管総重量１</t>
    <rPh sb="0" eb="2">
      <t>テツクダ</t>
    </rPh>
    <rPh sb="2" eb="5">
      <t>ソウジュウリョウ</t>
    </rPh>
    <phoneticPr fontId="6"/>
  </si>
  <si>
    <t>鉄管総重量２</t>
    <rPh sb="0" eb="2">
      <t>テツクダ</t>
    </rPh>
    <rPh sb="2" eb="5">
      <t>ソウジュウリョウ</t>
    </rPh>
    <phoneticPr fontId="6"/>
  </si>
  <si>
    <t>水圧管路鉄管単価２</t>
    <rPh sb="0" eb="4">
      <t>スイアツカンロ</t>
    </rPh>
    <rPh sb="4" eb="6">
      <t>テツクダ</t>
    </rPh>
    <rPh sb="6" eb="8">
      <t>タンカ</t>
    </rPh>
    <phoneticPr fontId="6"/>
  </si>
  <si>
    <t>露出単独</t>
    <rPh sb="0" eb="2">
      <t>ロシュツ</t>
    </rPh>
    <rPh sb="2" eb="4">
      <t>タンドク</t>
    </rPh>
    <phoneticPr fontId="6"/>
  </si>
  <si>
    <t>露出併設</t>
    <rPh sb="0" eb="2">
      <t>ロシュツ</t>
    </rPh>
    <rPh sb="2" eb="4">
      <t>ヘイセツ</t>
    </rPh>
    <phoneticPr fontId="6"/>
  </si>
  <si>
    <t>埋設</t>
    <rPh sb="0" eb="2">
      <t>マイセツ</t>
    </rPh>
    <phoneticPr fontId="6"/>
  </si>
  <si>
    <t>無</t>
  </si>
  <si>
    <t>水圧管路工事単価算定表</t>
    <rPh sb="0" eb="4">
      <t>スイアツカンロ</t>
    </rPh>
    <rPh sb="4" eb="8">
      <t>コウジタンカ</t>
    </rPh>
    <rPh sb="8" eb="11">
      <t>サンテイヒョウ</t>
    </rPh>
    <phoneticPr fontId="6"/>
  </si>
  <si>
    <t>敷設方式</t>
    <rPh sb="0" eb="4">
      <t>フセツホウシキ</t>
    </rPh>
    <phoneticPr fontId="6"/>
  </si>
  <si>
    <t>放水路</t>
    <rPh sb="2" eb="3">
      <t>ロ</t>
    </rPh>
    <phoneticPr fontId="6"/>
  </si>
  <si>
    <t>放水口ゲート</t>
    <rPh sb="0" eb="2">
      <t>ホウスイコウ</t>
    </rPh>
    <rPh sb="2" eb="3">
      <t>クチ</t>
    </rPh>
    <phoneticPr fontId="6"/>
  </si>
  <si>
    <t>機械装置諸装置工事費</t>
    <rPh sb="0" eb="2">
      <t>キカイ</t>
    </rPh>
    <rPh sb="2" eb="4">
      <t>ソウチ</t>
    </rPh>
    <rPh sb="4" eb="7">
      <t>ショソウチ</t>
    </rPh>
    <rPh sb="7" eb="10">
      <t>コウジヒ</t>
    </rPh>
    <phoneticPr fontId="6"/>
  </si>
  <si>
    <t>水車主機台数</t>
    <rPh sb="0" eb="2">
      <t>スイシャ</t>
    </rPh>
    <rPh sb="2" eb="6">
      <t>シュキダイスウ</t>
    </rPh>
    <phoneticPr fontId="6"/>
  </si>
  <si>
    <t>台</t>
    <rPh sb="0" eb="1">
      <t>ダイ</t>
    </rPh>
    <phoneticPr fontId="6"/>
  </si>
  <si>
    <t>水車種類</t>
    <rPh sb="0" eb="2">
      <t>スイシャ</t>
    </rPh>
    <rPh sb="2" eb="4">
      <t>シュルイ</t>
    </rPh>
    <phoneticPr fontId="6"/>
  </si>
  <si>
    <t>ペルトン</t>
    <phoneticPr fontId="6"/>
  </si>
  <si>
    <t>斜流</t>
    <rPh sb="0" eb="2">
      <t>シャリュウ</t>
    </rPh>
    <phoneticPr fontId="6"/>
  </si>
  <si>
    <t>チューブラ</t>
    <phoneticPr fontId="6"/>
  </si>
  <si>
    <t>カプラン</t>
    <phoneticPr fontId="6"/>
  </si>
  <si>
    <t>クロスフロー</t>
    <phoneticPr fontId="6"/>
  </si>
  <si>
    <t>両掛けフランシス</t>
    <rPh sb="0" eb="1">
      <t>リョウ</t>
    </rPh>
    <rPh sb="1" eb="2">
      <t>カ</t>
    </rPh>
    <phoneticPr fontId="6"/>
  </si>
  <si>
    <t>フランシス</t>
    <phoneticPr fontId="6"/>
  </si>
  <si>
    <t>雑工事費</t>
    <rPh sb="0" eb="4">
      <t>ザツコウジヒ</t>
    </rPh>
    <phoneticPr fontId="6"/>
  </si>
  <si>
    <t>電気関係</t>
    <rPh sb="0" eb="4">
      <t>デンキカンケイ</t>
    </rPh>
    <phoneticPr fontId="6"/>
  </si>
  <si>
    <t>水路</t>
    <rPh sb="0" eb="2">
      <t>スイロ</t>
    </rPh>
    <phoneticPr fontId="6"/>
  </si>
  <si>
    <t>仮設備費</t>
    <rPh sb="0" eb="3">
      <t>カリセツビ</t>
    </rPh>
    <rPh sb="3" eb="4">
      <t>ヒ</t>
    </rPh>
    <phoneticPr fontId="6"/>
  </si>
  <si>
    <t>道路新設距離</t>
    <rPh sb="0" eb="4">
      <t>ドウロシンセツ</t>
    </rPh>
    <rPh sb="4" eb="6">
      <t>キョリ</t>
    </rPh>
    <phoneticPr fontId="6"/>
  </si>
  <si>
    <t>トンネル道路新設距離</t>
    <rPh sb="4" eb="6">
      <t>ドウロ</t>
    </rPh>
    <rPh sb="6" eb="8">
      <t>シンセツ</t>
    </rPh>
    <rPh sb="8" eb="10">
      <t>キョリ</t>
    </rPh>
    <phoneticPr fontId="6"/>
  </si>
  <si>
    <t>m</t>
    <phoneticPr fontId="6"/>
  </si>
  <si>
    <t>道路改良距離</t>
    <rPh sb="0" eb="2">
      <t>ドウロ</t>
    </rPh>
    <rPh sb="2" eb="6">
      <t>カイリョウキョリ</t>
    </rPh>
    <phoneticPr fontId="6"/>
  </si>
  <si>
    <t>冬季休止有無</t>
    <rPh sb="0" eb="2">
      <t>トウキ</t>
    </rPh>
    <rPh sb="2" eb="4">
      <t>キュウシ</t>
    </rPh>
    <rPh sb="4" eb="6">
      <t>ウム</t>
    </rPh>
    <phoneticPr fontId="6"/>
  </si>
  <si>
    <t>（１）</t>
    <phoneticPr fontId="6"/>
  </si>
  <si>
    <t>（２）</t>
  </si>
  <si>
    <t>（３）</t>
  </si>
  <si>
    <t>（４）</t>
  </si>
  <si>
    <t>（５）</t>
  </si>
  <si>
    <t>（６）</t>
  </si>
  <si>
    <t>①</t>
    <phoneticPr fontId="6"/>
  </si>
  <si>
    <t>a.</t>
    <phoneticPr fontId="56"/>
  </si>
  <si>
    <t>b.</t>
    <phoneticPr fontId="56"/>
  </si>
  <si>
    <t>c.</t>
    <phoneticPr fontId="56"/>
  </si>
  <si>
    <t>d.</t>
    <phoneticPr fontId="56"/>
  </si>
  <si>
    <t>e.</t>
    <phoneticPr fontId="56"/>
  </si>
  <si>
    <t>②</t>
    <phoneticPr fontId="56"/>
  </si>
  <si>
    <t xml:space="preserve">貯水池 又は調整池 </t>
    <phoneticPr fontId="56"/>
  </si>
  <si>
    <t>③</t>
    <phoneticPr fontId="56"/>
  </si>
  <si>
    <t>k.</t>
    <phoneticPr fontId="6"/>
  </si>
  <si>
    <t>j.</t>
    <phoneticPr fontId="6"/>
  </si>
  <si>
    <t>総経費</t>
    <rPh sb="0" eb="3">
      <t>ソウケイヒ</t>
    </rPh>
    <phoneticPr fontId="6"/>
  </si>
  <si>
    <t>（小計)</t>
  </si>
  <si>
    <t>建設中利子</t>
  </si>
  <si>
    <t>分担関連費</t>
  </si>
  <si>
    <t>(計)</t>
  </si>
  <si>
    <t>（７）</t>
  </si>
  <si>
    <t>（８）</t>
  </si>
  <si>
    <t>（９）</t>
  </si>
  <si>
    <t>（１０）</t>
  </si>
  <si>
    <t>水車形式による電気関係工事費算定表</t>
    <rPh sb="0" eb="2">
      <t>スイシャ</t>
    </rPh>
    <rPh sb="2" eb="4">
      <t>ケイシキ</t>
    </rPh>
    <rPh sb="7" eb="9">
      <t>デンキ</t>
    </rPh>
    <rPh sb="9" eb="14">
      <t>カンケイコウジヒ</t>
    </rPh>
    <rPh sb="14" eb="17">
      <t>サンテイヒョウ</t>
    </rPh>
    <phoneticPr fontId="6"/>
  </si>
  <si>
    <t>工事費(百万円)</t>
    <rPh sb="0" eb="3">
      <t>コウジヒ</t>
    </rPh>
    <rPh sb="4" eb="7">
      <t>ヒャクマンエン</t>
    </rPh>
    <phoneticPr fontId="6"/>
  </si>
  <si>
    <t>工事単価(千円)</t>
    <rPh sb="0" eb="4">
      <t>コウジタンカ</t>
    </rPh>
    <rPh sb="5" eb="7">
      <t>センエン</t>
    </rPh>
    <phoneticPr fontId="6"/>
  </si>
  <si>
    <t>水圧管路内径(m)</t>
    <rPh sb="0" eb="4">
      <t>スイアツカンロ</t>
    </rPh>
    <rPh sb="4" eb="6">
      <t>ナイケイ</t>
    </rPh>
    <phoneticPr fontId="6"/>
  </si>
  <si>
    <t>道路建設単価</t>
    <rPh sb="0" eb="2">
      <t>ドウロ</t>
    </rPh>
    <rPh sb="2" eb="4">
      <t>ケンセツ</t>
    </rPh>
    <rPh sb="4" eb="6">
      <t>タンカ</t>
    </rPh>
    <phoneticPr fontId="6"/>
  </si>
  <si>
    <t>道路新設</t>
    <rPh sb="0" eb="2">
      <t>ドウロ</t>
    </rPh>
    <rPh sb="2" eb="4">
      <t>シンセツ</t>
    </rPh>
    <phoneticPr fontId="6"/>
  </si>
  <si>
    <t>円/m</t>
    <rPh sb="0" eb="1">
      <t>エン</t>
    </rPh>
    <phoneticPr fontId="6"/>
  </si>
  <si>
    <t>トンネル道路新設</t>
    <rPh sb="4" eb="6">
      <t>ドウロ</t>
    </rPh>
    <rPh sb="6" eb="8">
      <t>シンセツ</t>
    </rPh>
    <phoneticPr fontId="6"/>
  </si>
  <si>
    <t>道路改良</t>
    <rPh sb="0" eb="4">
      <t>ドウロカイリョウ</t>
    </rPh>
    <phoneticPr fontId="6"/>
  </si>
  <si>
    <t>発電に関わる設備の耐用年数一覧</t>
    <rPh sb="0" eb="8">
      <t>ハツデンセツビ</t>
    </rPh>
    <rPh sb="9" eb="13">
      <t>タイヨウネンスウ</t>
    </rPh>
    <rPh sb="13" eb="15">
      <t>イチラン</t>
    </rPh>
    <phoneticPr fontId="6"/>
  </si>
  <si>
    <t>細目</t>
    <phoneticPr fontId="6"/>
  </si>
  <si>
    <t>償却率</t>
  </si>
  <si>
    <t>改定償却率</t>
  </si>
  <si>
    <t>保証率</t>
  </si>
  <si>
    <t>鉄骨鉄筋又は鉄筋コンクリート造</t>
  </si>
  <si>
    <t>償却保証額＝取得価額×保証率</t>
    <rPh sb="6" eb="10">
      <t>シュトクカガク</t>
    </rPh>
    <rPh sb="11" eb="14">
      <t>ホショウリツ</t>
    </rPh>
    <phoneticPr fontId="6"/>
  </si>
  <si>
    <t>調整前償却額＜償却補償額の場合、改定取得価額(調整前償却額が初めて償却保証額に満たないこととなる年の期首未償却残高)×改定償却率</t>
    <rPh sb="7" eb="9">
      <t>ショウキャク</t>
    </rPh>
    <rPh sb="9" eb="12">
      <t>ホショウガク</t>
    </rPh>
    <rPh sb="13" eb="15">
      <t>バアイ</t>
    </rPh>
    <phoneticPr fontId="6"/>
  </si>
  <si>
    <t>(注)1　資産を年の中途で取得又は取壊しをした場合には、上記の金額を12で除しその年分において事業に使用していた月数を乗じて計算した金額になります。</t>
  </si>
  <si>
    <t>4　改定償却率とは、改定取得価額に対しその償却費の額がその後同一となるように当該資産の耐用年数に応じた償却率をいいます。</t>
  </si>
  <si>
    <t>　なお、平成19年4月1日以後に取得する償却資産の償却費の計算において適用される償却率、改定償却率及び保証率は、耐用年数省令別表八で定められています。</t>
  </si>
  <si>
    <t>構築物の法定耐用年数表</t>
    <phoneticPr fontId="6"/>
  </si>
  <si>
    <t>小水力発電用（農山漁村電気導入促進法による）</t>
    <phoneticPr fontId="6"/>
  </si>
  <si>
    <t>その他の水力発電用（貯水池、調整池、水路）</t>
    <phoneticPr fontId="6"/>
  </si>
  <si>
    <r>
      <t>別表第</t>
    </r>
    <r>
      <rPr>
        <b/>
        <sz val="14"/>
        <color indexed="8"/>
        <rFont val="ＭＳ Ｐゴシック"/>
        <charset val="128"/>
        <scheme val="minor"/>
      </rPr>
      <t>2　機械及び装置の耐用年数表</t>
    </r>
    <phoneticPr fontId="6"/>
  </si>
  <si>
    <t>電気事業用水力発電設備</t>
    <phoneticPr fontId="6"/>
  </si>
  <si>
    <t>送電又は電気事業用変電若しくは配電設備</t>
    <phoneticPr fontId="6"/>
  </si>
  <si>
    <t>建物の法定耐用年数表</t>
    <phoneticPr fontId="6"/>
  </si>
  <si>
    <t>変電所、発電所、送受信所、停車場、車庫、格納庫、荷扱所、映画製作ステージ、屋内スケート場、魚市場、と蓄場用のもの</t>
    <phoneticPr fontId="6"/>
  </si>
  <si>
    <t>木造又は合成樹脂</t>
    <phoneticPr fontId="6"/>
  </si>
  <si>
    <t>未償却残高×定率法の償却率（以下「調整前償却額」という。）</t>
    <phoneticPr fontId="6"/>
  </si>
  <si>
    <t>　 ただし、上記の金額が償却保証額に満たなくなった年分以後は次の算式による。 改定取得価額×改定償却率</t>
    <phoneticPr fontId="6"/>
  </si>
  <si>
    <t>2　償却保証額とは、資産の取得価額に当該資産の耐用年数に応じた保証率を乗じて計算した金額をいいます。</t>
    <phoneticPr fontId="6"/>
  </si>
  <si>
    <t>3　改定取得価額とは、調整前償却額が初めて償却保証額に満たないこととなる年の期首未償却残高をいいます。</t>
    <phoneticPr fontId="6"/>
  </si>
  <si>
    <r>
      <t>流量(m</t>
    </r>
    <r>
      <rPr>
        <vertAlign val="superscript"/>
        <sz val="11"/>
        <rFont val="ＭＳ Ｐゴシック"/>
        <charset val="128"/>
      </rPr>
      <t>3</t>
    </r>
    <r>
      <rPr>
        <sz val="11"/>
        <rFont val="ＭＳ Ｐゴシック"/>
        <family val="3"/>
        <charset val="128"/>
      </rPr>
      <t>/s)</t>
    </r>
    <rPh sb="0" eb="2">
      <t>リュウリョウ</t>
    </rPh>
    <phoneticPr fontId="6"/>
  </si>
  <si>
    <t>必須</t>
    <rPh sb="0" eb="2">
      <t>ヒッス</t>
    </rPh>
    <phoneticPr fontId="6"/>
  </si>
  <si>
    <t>事業費合計</t>
    <rPh sb="0" eb="5">
      <t>ジギョウヒゴウケイ</t>
    </rPh>
    <phoneticPr fontId="6"/>
  </si>
  <si>
    <t>自動計算</t>
    <rPh sb="0" eb="4">
      <t>ジドウケイサン</t>
    </rPh>
    <phoneticPr fontId="6"/>
  </si>
  <si>
    <t>手入力</t>
    <rPh sb="0" eb="3">
      <t>テニュウリョク</t>
    </rPh>
    <phoneticPr fontId="6"/>
  </si>
  <si>
    <t>■計算エリア</t>
    <rPh sb="1" eb="3">
      <t>ケイサン</t>
    </rPh>
    <phoneticPr fontId="6"/>
  </si>
  <si>
    <t>土木工事費計算</t>
    <rPh sb="0" eb="5">
      <t>ドボクコウジヒ</t>
    </rPh>
    <rPh sb="5" eb="7">
      <t>ケイサン</t>
    </rPh>
    <phoneticPr fontId="6"/>
  </si>
  <si>
    <t>土木工事費手入力</t>
    <rPh sb="5" eb="8">
      <t>テニュウリョク</t>
    </rPh>
    <phoneticPr fontId="6"/>
  </si>
  <si>
    <t>建築・機械・電気工事計算</t>
    <rPh sb="10" eb="12">
      <t>ケイサン</t>
    </rPh>
    <phoneticPr fontId="6"/>
  </si>
  <si>
    <t>建築・機械・電気工事計算手入力</t>
    <rPh sb="10" eb="12">
      <t>ケイサン</t>
    </rPh>
    <rPh sb="12" eb="15">
      <t>テニュウリョク</t>
    </rPh>
    <phoneticPr fontId="6"/>
  </si>
  <si>
    <t>機械装置計算</t>
    <rPh sb="0" eb="4">
      <t>キカイソウチ</t>
    </rPh>
    <rPh sb="4" eb="6">
      <t>ケイサン</t>
    </rPh>
    <phoneticPr fontId="6"/>
  </si>
  <si>
    <t>機械装置計算手入力</t>
    <rPh sb="0" eb="4">
      <t>キカイソウチ</t>
    </rPh>
    <rPh sb="4" eb="6">
      <t>ケイサン</t>
    </rPh>
    <rPh sb="6" eb="9">
      <t>テニュウリョク</t>
    </rPh>
    <phoneticPr fontId="6"/>
  </si>
  <si>
    <t>用地取得計算</t>
    <rPh sb="0" eb="4">
      <t>ヨウチシュトク</t>
    </rPh>
    <rPh sb="4" eb="6">
      <t>ケイサン</t>
    </rPh>
    <phoneticPr fontId="6"/>
  </si>
  <si>
    <t>用地取得手入力</t>
    <rPh sb="0" eb="4">
      <t>ヨウチシュトク</t>
    </rPh>
    <rPh sb="4" eb="7">
      <t>テニュウリョク</t>
    </rPh>
    <phoneticPr fontId="6"/>
  </si>
  <si>
    <t>調査費</t>
    <rPh sb="0" eb="3">
      <t>チョウサヒ</t>
    </rPh>
    <phoneticPr fontId="6"/>
  </si>
  <si>
    <t>その他計算</t>
    <rPh sb="2" eb="3">
      <t>タ</t>
    </rPh>
    <rPh sb="3" eb="5">
      <t>ケイサン</t>
    </rPh>
    <phoneticPr fontId="6"/>
  </si>
  <si>
    <t>その他手入力</t>
    <rPh sb="2" eb="3">
      <t>タ</t>
    </rPh>
    <rPh sb="3" eb="6">
      <t>テニュウリョク</t>
    </rPh>
    <phoneticPr fontId="6"/>
  </si>
  <si>
    <t>選択</t>
    <rPh sb="0" eb="2">
      <t>センタク</t>
    </rPh>
    <phoneticPr fontId="6"/>
  </si>
  <si>
    <t>計算区分</t>
    <rPh sb="0" eb="4">
      <t>ケイサンクブン</t>
    </rPh>
    <phoneticPr fontId="6"/>
  </si>
  <si>
    <t>建築・機械・電気工事</t>
    <phoneticPr fontId="6"/>
  </si>
  <si>
    <t>工事費合計</t>
    <rPh sb="0" eb="5">
      <t>コウジヒゴウケイ</t>
    </rPh>
    <phoneticPr fontId="6"/>
  </si>
  <si>
    <t>通常は１台</t>
    <rPh sb="0" eb="2">
      <t>ツウジョウ</t>
    </rPh>
    <rPh sb="4" eb="5">
      <t>ダイ</t>
    </rPh>
    <phoneticPr fontId="6"/>
  </si>
  <si>
    <t>工事費費合計手入力</t>
    <rPh sb="0" eb="3">
      <t>コウジヒ</t>
    </rPh>
    <rPh sb="3" eb="6">
      <t>コウジヒゴウケイ</t>
    </rPh>
    <rPh sb="6" eb="9">
      <t>テニュウリョク</t>
    </rPh>
    <phoneticPr fontId="6"/>
  </si>
  <si>
    <t>工事費合計計算</t>
    <rPh sb="0" eb="2">
      <t>コウジ</t>
    </rPh>
    <rPh sb="2" eb="3">
      <t>コウジヒ</t>
    </rPh>
    <rPh sb="3" eb="5">
      <t>ゴウケイ</t>
    </rPh>
    <rPh sb="5" eb="7">
      <t>ケイサン</t>
    </rPh>
    <phoneticPr fontId="6"/>
  </si>
  <si>
    <t>■補助金</t>
    <rPh sb="1" eb="4">
      <t>ホジョキン</t>
    </rPh>
    <phoneticPr fontId="6"/>
  </si>
  <si>
    <t>■諸税</t>
    <rPh sb="1" eb="3">
      <t>ショゼイ</t>
    </rPh>
    <phoneticPr fontId="6"/>
  </si>
  <si>
    <t>無</t>
    <phoneticPr fontId="6"/>
  </si>
  <si>
    <t>■発電所情報パラメーター</t>
    <rPh sb="1" eb="4">
      <t>ハツデンショ</t>
    </rPh>
    <rPh sb="4" eb="6">
      <t>ジョウホウ</t>
    </rPh>
    <phoneticPr fontId="6"/>
  </si>
  <si>
    <t>円/年</t>
    <rPh sb="0" eb="1">
      <t>エン</t>
    </rPh>
    <rPh sb="2" eb="3">
      <t>ネン</t>
    </rPh>
    <phoneticPr fontId="6"/>
  </si>
  <si>
    <t>メーター検定</t>
    <rPh sb="4" eb="6">
      <t>ケンテイ</t>
    </rPh>
    <phoneticPr fontId="6"/>
  </si>
  <si>
    <t>防水補強</t>
    <rPh sb="0" eb="4">
      <t>ボウスイホキョウ</t>
    </rPh>
    <phoneticPr fontId="6"/>
  </si>
  <si>
    <t>円/月</t>
    <rPh sb="0" eb="1">
      <t>エン</t>
    </rPh>
    <rPh sb="2" eb="3">
      <t>ツキ</t>
    </rPh>
    <phoneticPr fontId="6"/>
  </si>
  <si>
    <t>■維持管理費</t>
    <rPh sb="1" eb="6">
      <t>イジカンリヒ</t>
    </rPh>
    <phoneticPr fontId="6"/>
  </si>
  <si>
    <t>小水力発電</t>
    <rPh sb="0" eb="3">
      <t>ショウスイ</t>
    </rPh>
    <rPh sb="3" eb="5">
      <t>タイヨウヒカリハツデン</t>
    </rPh>
    <phoneticPr fontId="6"/>
  </si>
  <si>
    <t>常時使用水量</t>
    <rPh sb="0" eb="2">
      <t>ジョウジ</t>
    </rPh>
    <rPh sb="2" eb="4">
      <t>シヨウ</t>
    </rPh>
    <rPh sb="4" eb="6">
      <t>スイリョウ</t>
    </rPh>
    <phoneticPr fontId="6"/>
  </si>
  <si>
    <t>常時理論水力</t>
    <rPh sb="0" eb="6">
      <t>ジョウジリロンスイリョク</t>
    </rPh>
    <phoneticPr fontId="6"/>
  </si>
  <si>
    <t>最大理論水力</t>
    <rPh sb="0" eb="2">
      <t>サイダイ</t>
    </rPh>
    <rPh sb="2" eb="6">
      <t>リロンスイリョク</t>
    </rPh>
    <phoneticPr fontId="6"/>
  </si>
  <si>
    <t>kW</t>
    <phoneticPr fontId="6"/>
  </si>
  <si>
    <t>入力値</t>
    <rPh sb="0" eb="3">
      <t>ニュウリョクチ</t>
    </rPh>
    <phoneticPr fontId="6"/>
  </si>
  <si>
    <t>計算値</t>
    <rPh sb="0" eb="3">
      <t>ケイサンチ</t>
    </rPh>
    <phoneticPr fontId="6"/>
  </si>
  <si>
    <t>定率法、残存価値</t>
    <rPh sb="0" eb="1">
      <t>テイガクホウ</t>
    </rPh>
    <rPh sb="1" eb="3">
      <t>リツホウ</t>
    </rPh>
    <rPh sb="4" eb="6">
      <t>ザンゾン</t>
    </rPh>
    <rPh sb="6" eb="8">
      <t>カチ</t>
    </rPh>
    <phoneticPr fontId="6"/>
  </si>
  <si>
    <t>改訂償却率</t>
    <rPh sb="0" eb="2">
      <t>カイテイ</t>
    </rPh>
    <rPh sb="2" eb="5">
      <t>ショウキャクリツ</t>
    </rPh>
    <phoneticPr fontId="6"/>
  </si>
  <si>
    <t>保証率</t>
    <rPh sb="0" eb="3">
      <t>ホショウリツ</t>
    </rPh>
    <phoneticPr fontId="6"/>
  </si>
  <si>
    <t>調整前償却額</t>
    <rPh sb="0" eb="2">
      <t>チョウセイ</t>
    </rPh>
    <rPh sb="2" eb="3">
      <t>マエ</t>
    </rPh>
    <rPh sb="3" eb="5">
      <t>ショウキャク</t>
    </rPh>
    <rPh sb="5" eb="6">
      <t>ガク</t>
    </rPh>
    <phoneticPr fontId="1"/>
  </si>
  <si>
    <t>調整後償却額</t>
    <rPh sb="0" eb="2">
      <t>チョウセイ</t>
    </rPh>
    <rPh sb="2" eb="3">
      <t>ゴ</t>
    </rPh>
    <rPh sb="3" eb="5">
      <t>ショウキャク</t>
    </rPh>
    <rPh sb="5" eb="6">
      <t>ガク</t>
    </rPh>
    <phoneticPr fontId="1"/>
  </si>
  <si>
    <t>累計償却額</t>
    <rPh sb="0" eb="2">
      <t>ルイケイ</t>
    </rPh>
    <rPh sb="2" eb="5">
      <t>ショウキャクガク</t>
    </rPh>
    <phoneticPr fontId="6"/>
  </si>
  <si>
    <t>償却率</t>
    <rPh sb="0" eb="3">
      <t>ショウキャクリツ</t>
    </rPh>
    <phoneticPr fontId="6"/>
  </si>
  <si>
    <t>改定償却額</t>
    <rPh sb="0" eb="5">
      <t>カイテイショウ</t>
    </rPh>
    <phoneticPr fontId="6"/>
  </si>
  <si>
    <t>償却保証額</t>
    <rPh sb="0" eb="5">
      <t>ショウキャクホショウガク</t>
    </rPh>
    <phoneticPr fontId="6"/>
  </si>
  <si>
    <t>調整前償却額</t>
    <rPh sb="0" eb="3">
      <t>チョウセイマエ</t>
    </rPh>
    <rPh sb="3" eb="6">
      <t>ショウキャクガク</t>
    </rPh>
    <phoneticPr fontId="6"/>
  </si>
  <si>
    <t>判定</t>
    <rPh sb="0" eb="2">
      <t>ハンテイ</t>
    </rPh>
    <phoneticPr fontId="6"/>
  </si>
  <si>
    <t>調整後償却額</t>
    <rPh sb="0" eb="3">
      <t>チョウセイゴ</t>
    </rPh>
    <rPh sb="3" eb="6">
      <t>ショウキャクガク</t>
    </rPh>
    <phoneticPr fontId="6"/>
  </si>
  <si>
    <t>建家計算</t>
    <rPh sb="0" eb="2">
      <t>タテヤ</t>
    </rPh>
    <rPh sb="2" eb="4">
      <t>ケイサン</t>
    </rPh>
    <phoneticPr fontId="6"/>
  </si>
  <si>
    <t>建家手入力</t>
    <rPh sb="0" eb="2">
      <t>タテヤ</t>
    </rPh>
    <rPh sb="2" eb="3">
      <t>テ</t>
    </rPh>
    <rPh sb="3" eb="5">
      <t>ニュウリョク</t>
    </rPh>
    <phoneticPr fontId="6"/>
  </si>
  <si>
    <t>建家</t>
    <rPh sb="0" eb="2">
      <t>タテヤ</t>
    </rPh>
    <phoneticPr fontId="6"/>
  </si>
  <si>
    <t>建家構造</t>
    <rPh sb="0" eb="2">
      <t>タテヤ</t>
    </rPh>
    <rPh sb="2" eb="4">
      <t>コウゾウ</t>
    </rPh>
    <phoneticPr fontId="6"/>
  </si>
  <si>
    <t>金属造（骨格材の肉薄四ミリ超）</t>
    <phoneticPr fontId="6"/>
  </si>
  <si>
    <t>金属造(骨格材の肉薄三超～四ミリ以下)</t>
    <phoneticPr fontId="6"/>
  </si>
  <si>
    <t>金属造(骨格材の肉薄三ミリ以下)</t>
    <phoneticPr fontId="6"/>
  </si>
  <si>
    <t>当初３年特例評価額</t>
    <rPh sb="0" eb="2">
      <t>トウショ</t>
    </rPh>
    <rPh sb="3" eb="4">
      <t>ネン</t>
    </rPh>
    <rPh sb="4" eb="6">
      <t>トクレイ</t>
    </rPh>
    <rPh sb="6" eb="9">
      <t>ヒョウカガク</t>
    </rPh>
    <phoneticPr fontId="6"/>
  </si>
  <si>
    <t>減価率</t>
    <rPh sb="0" eb="2">
      <t>ゲンカ</t>
    </rPh>
    <rPh sb="2" eb="3">
      <t>リツ</t>
    </rPh>
    <phoneticPr fontId="6"/>
  </si>
  <si>
    <t>機械種別</t>
    <rPh sb="0" eb="4">
      <t>キカイシュベツ</t>
    </rPh>
    <phoneticPr fontId="6"/>
  </si>
  <si>
    <t>共済の目的物の範囲(例)</t>
    <rPh sb="0" eb="2">
      <t>キョウサイ</t>
    </rPh>
    <rPh sb="3" eb="6">
      <t>モクテキブツ</t>
    </rPh>
    <rPh sb="7" eb="9">
      <t>ハンイ</t>
    </rPh>
    <rPh sb="10" eb="11">
      <t>レイ</t>
    </rPh>
    <phoneticPr fontId="6"/>
  </si>
  <si>
    <t>分担金基率</t>
    <rPh sb="0" eb="3">
      <t>ブンタンキン</t>
    </rPh>
    <rPh sb="3" eb="5">
      <t>キリツ</t>
    </rPh>
    <phoneticPr fontId="6"/>
  </si>
  <si>
    <t>水車</t>
    <rPh sb="0" eb="2">
      <t>スイシャ</t>
    </rPh>
    <phoneticPr fontId="6"/>
  </si>
  <si>
    <t>水車本体</t>
    <rPh sb="0" eb="2">
      <t>スイシャ</t>
    </rPh>
    <rPh sb="2" eb="4">
      <t>ホンタイ</t>
    </rPh>
    <phoneticPr fontId="6"/>
  </si>
  <si>
    <t>水車ランナー</t>
    <rPh sb="0" eb="2">
      <t>スイシャ</t>
    </rPh>
    <phoneticPr fontId="6"/>
  </si>
  <si>
    <t>吸出管</t>
    <rPh sb="0" eb="2">
      <t>スイダ</t>
    </rPh>
    <rPh sb="2" eb="3">
      <t>クダ</t>
    </rPh>
    <phoneticPr fontId="6"/>
  </si>
  <si>
    <t>入口弁</t>
    <rPh sb="0" eb="2">
      <t>イリグチ</t>
    </rPh>
    <rPh sb="2" eb="3">
      <t>ベン</t>
    </rPh>
    <phoneticPr fontId="6"/>
  </si>
  <si>
    <t>制圧機</t>
    <rPh sb="0" eb="3">
      <t>セイアツキ</t>
    </rPh>
    <phoneticPr fontId="6"/>
  </si>
  <si>
    <t>調速機(ガバナー)</t>
    <rPh sb="0" eb="2">
      <t>チョウソク</t>
    </rPh>
    <rPh sb="2" eb="3">
      <t>キ</t>
    </rPh>
    <phoneticPr fontId="6"/>
  </si>
  <si>
    <t>運転制御装置</t>
    <rPh sb="0" eb="4">
      <t>ウンテンセイギョ</t>
    </rPh>
    <rPh sb="4" eb="6">
      <t>ソウチ</t>
    </rPh>
    <phoneticPr fontId="6"/>
  </si>
  <si>
    <t>水位調整機</t>
    <rPh sb="0" eb="2">
      <t>スイイ</t>
    </rPh>
    <rPh sb="2" eb="4">
      <t>チョウセイキ</t>
    </rPh>
    <rPh sb="4" eb="5">
      <t>キ</t>
    </rPh>
    <phoneticPr fontId="6"/>
  </si>
  <si>
    <t>油圧および潤滑油装置</t>
    <rPh sb="0" eb="2">
      <t>ユアツ</t>
    </rPh>
    <rPh sb="5" eb="8">
      <t>ジュンカツユ</t>
    </rPh>
    <rPh sb="8" eb="10">
      <t>ソウチ</t>
    </rPh>
    <phoneticPr fontId="6"/>
  </si>
  <si>
    <t>油圧および潤滑油槽</t>
    <rPh sb="0" eb="2">
      <t>ユアツ</t>
    </rPh>
    <rPh sb="5" eb="9">
      <t>ジュンカツユソウ</t>
    </rPh>
    <phoneticPr fontId="6"/>
  </si>
  <si>
    <t>油圧および潤滑油ポンプ</t>
    <rPh sb="0" eb="2">
      <t>ユアツ</t>
    </rPh>
    <rPh sb="5" eb="8">
      <t>ジュンカツユ</t>
    </rPh>
    <phoneticPr fontId="6"/>
  </si>
  <si>
    <t>所内用水者</t>
    <rPh sb="0" eb="5">
      <t>ショナイヨウスイシャ</t>
    </rPh>
    <phoneticPr fontId="6"/>
  </si>
  <si>
    <t>発電機</t>
    <rPh sb="0" eb="3">
      <t>ハツデンキ</t>
    </rPh>
    <phoneticPr fontId="6"/>
  </si>
  <si>
    <t>主要発電機</t>
    <rPh sb="0" eb="5">
      <t>シュヨウハツデンキ</t>
    </rPh>
    <phoneticPr fontId="6"/>
  </si>
  <si>
    <t>界磁抵抗器</t>
    <rPh sb="0" eb="5">
      <t>カイジテイコウキ</t>
    </rPh>
    <phoneticPr fontId="6"/>
  </si>
  <si>
    <t>潤滑油装置</t>
    <rPh sb="0" eb="5">
      <t>ジュンカツユソウチ</t>
    </rPh>
    <phoneticPr fontId="6"/>
  </si>
  <si>
    <t>潤滑油ポンプ</t>
    <rPh sb="0" eb="3">
      <t>ジュンカツユ</t>
    </rPh>
    <phoneticPr fontId="6"/>
  </si>
  <si>
    <t>空気冷却装置</t>
    <rPh sb="0" eb="4">
      <t>クウキレイキャク</t>
    </rPh>
    <rPh sb="4" eb="6">
      <t>ソウチ</t>
    </rPh>
    <phoneticPr fontId="6"/>
  </si>
  <si>
    <t>冷却器</t>
    <rPh sb="0" eb="3">
      <t>レイキャクキ</t>
    </rPh>
    <phoneticPr fontId="6"/>
  </si>
  <si>
    <t>送風器</t>
    <rPh sb="0" eb="3">
      <t>ソウフウキ</t>
    </rPh>
    <phoneticPr fontId="6"/>
  </si>
  <si>
    <t>空気清浄器</t>
    <rPh sb="0" eb="5">
      <t>クウキセイジョウキ</t>
    </rPh>
    <phoneticPr fontId="6"/>
  </si>
  <si>
    <t>励磁機</t>
    <rPh sb="0" eb="1">
      <t>ショウレイ</t>
    </rPh>
    <rPh sb="1" eb="2">
      <t>ジキ</t>
    </rPh>
    <rPh sb="2" eb="3">
      <t>キ</t>
    </rPh>
    <phoneticPr fontId="6"/>
  </si>
  <si>
    <t>励磁機用界磁抵抗器</t>
    <rPh sb="0" eb="1">
      <t>ショウレイ</t>
    </rPh>
    <rPh sb="1" eb="2">
      <t>ジキ</t>
    </rPh>
    <rPh sb="2" eb="3">
      <t>キ</t>
    </rPh>
    <rPh sb="3" eb="4">
      <t>ヨウ</t>
    </rPh>
    <rPh sb="4" eb="6">
      <t>カイジ</t>
    </rPh>
    <rPh sb="6" eb="9">
      <t>テイコウキ</t>
    </rPh>
    <phoneticPr fontId="6"/>
  </si>
  <si>
    <t>予備励磁機</t>
    <rPh sb="0" eb="2">
      <t>ヨビ</t>
    </rPh>
    <rPh sb="4" eb="5">
      <t>キ</t>
    </rPh>
    <phoneticPr fontId="6"/>
  </si>
  <si>
    <t>所内用水車発電機</t>
    <rPh sb="0" eb="3">
      <t>ショナイヨウスイシャ</t>
    </rPh>
    <rPh sb="3" eb="5">
      <t>スイシャ</t>
    </rPh>
    <rPh sb="5" eb="8">
      <t>ハツデンキ</t>
    </rPh>
    <phoneticPr fontId="6"/>
  </si>
  <si>
    <t>主要変圧器</t>
    <rPh sb="0" eb="2">
      <t>シュヨウ</t>
    </rPh>
    <rPh sb="2" eb="5">
      <t>ヘンアツキ</t>
    </rPh>
    <phoneticPr fontId="6"/>
  </si>
  <si>
    <t>冷却装置</t>
    <rPh sb="0" eb="2">
      <t>レイキャク</t>
    </rPh>
    <rPh sb="2" eb="4">
      <t>ソウチ</t>
    </rPh>
    <phoneticPr fontId="6"/>
  </si>
  <si>
    <t>絶縁油</t>
    <rPh sb="0" eb="3">
      <t>ゼツエンユ</t>
    </rPh>
    <phoneticPr fontId="6"/>
  </si>
  <si>
    <t>配電盤開閉装置</t>
    <rPh sb="0" eb="3">
      <t>ハイデンバン</t>
    </rPh>
    <rPh sb="3" eb="5">
      <t>カイヘイ</t>
    </rPh>
    <rPh sb="5" eb="7">
      <t>ソウチ</t>
    </rPh>
    <phoneticPr fontId="6"/>
  </si>
  <si>
    <t>遮断機</t>
    <rPh sb="0" eb="3">
      <t>シャダンキ</t>
    </rPh>
    <phoneticPr fontId="6"/>
  </si>
  <si>
    <t>油入開閉器</t>
    <rPh sb="0" eb="1">
      <t>アブラ</t>
    </rPh>
    <rPh sb="1" eb="2">
      <t>イ</t>
    </rPh>
    <rPh sb="2" eb="5">
      <t>カイヘイキ</t>
    </rPh>
    <phoneticPr fontId="6"/>
  </si>
  <si>
    <t>装甲開閉器</t>
    <rPh sb="0" eb="2">
      <t>ソウコウ</t>
    </rPh>
    <rPh sb="2" eb="4">
      <t>カイヘイ</t>
    </rPh>
    <rPh sb="4" eb="5">
      <t>キ</t>
    </rPh>
    <phoneticPr fontId="6"/>
  </si>
  <si>
    <t>断路器</t>
    <rPh sb="0" eb="3">
      <t>ダンロキ</t>
    </rPh>
    <phoneticPr fontId="6"/>
  </si>
  <si>
    <t>配電盤</t>
    <rPh sb="0" eb="3">
      <t>ハイデンバン</t>
    </rPh>
    <phoneticPr fontId="6"/>
  </si>
  <si>
    <t>計器用変成器</t>
    <rPh sb="0" eb="3">
      <t>ケイキヨウ</t>
    </rPh>
    <rPh sb="3" eb="6">
      <t>ヘンセイキ</t>
    </rPh>
    <phoneticPr fontId="6"/>
  </si>
  <si>
    <t>変流器</t>
    <rPh sb="0" eb="3">
      <t>ヘンリュウキ</t>
    </rPh>
    <phoneticPr fontId="6"/>
  </si>
  <si>
    <t>遠隔制御装置</t>
    <rPh sb="0" eb="6">
      <t>エンカクセイギョソウチ</t>
    </rPh>
    <phoneticPr fontId="6"/>
  </si>
  <si>
    <t>遠隔測定装置</t>
    <rPh sb="0" eb="4">
      <t>エンカクソクテイ</t>
    </rPh>
    <rPh sb="4" eb="6">
      <t>ソウチ</t>
    </rPh>
    <phoneticPr fontId="6"/>
  </si>
  <si>
    <t>遠隔監視装置</t>
    <rPh sb="0" eb="4">
      <t>エンカクカンシ</t>
    </rPh>
    <rPh sb="4" eb="6">
      <t>ソウチ</t>
    </rPh>
    <phoneticPr fontId="6"/>
  </si>
  <si>
    <t>所内用配電盤開閉装置</t>
    <rPh sb="0" eb="3">
      <t>ショナイヨウ</t>
    </rPh>
    <rPh sb="3" eb="6">
      <t>ハイデンバン</t>
    </rPh>
    <rPh sb="6" eb="8">
      <t>カイヘイ</t>
    </rPh>
    <rPh sb="8" eb="10">
      <t>ソウチ</t>
    </rPh>
    <phoneticPr fontId="6"/>
  </si>
  <si>
    <t>電線ケーブル類</t>
    <rPh sb="0" eb="2">
      <t>デンセン</t>
    </rPh>
    <rPh sb="6" eb="7">
      <t>ルイ</t>
    </rPh>
    <phoneticPr fontId="6"/>
  </si>
  <si>
    <t>単相変圧器</t>
    <rPh sb="2" eb="5">
      <t>ヘンアツキ</t>
    </rPh>
    <phoneticPr fontId="6"/>
  </si>
  <si>
    <t>単相窒素封入装置</t>
    <rPh sb="2" eb="4">
      <t>チッソ</t>
    </rPh>
    <rPh sb="4" eb="8">
      <t>フウニュウソウチ</t>
    </rPh>
    <phoneticPr fontId="6"/>
  </si>
  <si>
    <t>三相変圧器</t>
    <rPh sb="0" eb="2">
      <t>サンソウ</t>
    </rPh>
    <rPh sb="2" eb="5">
      <t>ヘンアツキ</t>
    </rPh>
    <phoneticPr fontId="6"/>
  </si>
  <si>
    <t>三相窒素封入装置</t>
    <rPh sb="0" eb="2">
      <t>サンソウ</t>
    </rPh>
    <rPh sb="2" eb="4">
      <t>チッソ</t>
    </rPh>
    <rPh sb="4" eb="8">
      <t>フウニュウソウチ</t>
    </rPh>
    <phoneticPr fontId="6"/>
  </si>
  <si>
    <t>単相冷却装置</t>
    <rPh sb="2" eb="4">
      <t>レイキャク</t>
    </rPh>
    <rPh sb="4" eb="6">
      <t>ソウチ</t>
    </rPh>
    <phoneticPr fontId="6"/>
  </si>
  <si>
    <t>単相絶縁油</t>
    <rPh sb="2" eb="5">
      <t>ゼツエンユ</t>
    </rPh>
    <phoneticPr fontId="6"/>
  </si>
  <si>
    <t>分担金割引率（％）</t>
    <rPh sb="0" eb="3">
      <t>ブンタンキン</t>
    </rPh>
    <rPh sb="3" eb="5">
      <t>ワリビキ</t>
    </rPh>
    <rPh sb="5" eb="6">
      <t>リツ</t>
    </rPh>
    <phoneticPr fontId="6"/>
  </si>
  <si>
    <t>分担金割引後の
基率</t>
    <rPh sb="0" eb="3">
      <t>ブンタンキン</t>
    </rPh>
    <rPh sb="3" eb="5">
      <t>ワリビキ</t>
    </rPh>
    <rPh sb="5" eb="6">
      <t>ゴ</t>
    </rPh>
    <rPh sb="8" eb="9">
      <t>モト</t>
    </rPh>
    <rPh sb="9" eb="10">
      <t>リツ</t>
    </rPh>
    <phoneticPr fontId="6"/>
  </si>
  <si>
    <t>自己負担額
増額割引</t>
    <rPh sb="0" eb="2">
      <t>ジコ</t>
    </rPh>
    <rPh sb="2" eb="4">
      <t>フタン</t>
    </rPh>
    <rPh sb="4" eb="5">
      <t>ガク</t>
    </rPh>
    <rPh sb="6" eb="8">
      <t>ゾウガク</t>
    </rPh>
    <rPh sb="8" eb="10">
      <t>ワリビキ</t>
    </rPh>
    <phoneticPr fontId="6"/>
  </si>
  <si>
    <t>縮小補填
割引</t>
    <rPh sb="0" eb="2">
      <t>シュクショウ</t>
    </rPh>
    <rPh sb="2" eb="4">
      <t>ホテン</t>
    </rPh>
    <rPh sb="5" eb="7">
      <t>ワリビキ</t>
    </rPh>
    <phoneticPr fontId="6"/>
  </si>
  <si>
    <t>保障割引</t>
    <rPh sb="0" eb="2">
      <t>ホショウ</t>
    </rPh>
    <rPh sb="2" eb="4">
      <t>ワリビキ</t>
    </rPh>
    <phoneticPr fontId="6"/>
  </si>
  <si>
    <t>■地方債</t>
    <rPh sb="1" eb="4">
      <t>チホウサイ</t>
    </rPh>
    <phoneticPr fontId="6"/>
  </si>
  <si>
    <t>充当率</t>
    <rPh sb="0" eb="3">
      <t>ジュウトウリツ</t>
    </rPh>
    <phoneticPr fontId="6"/>
  </si>
  <si>
    <t>%</t>
    <phoneticPr fontId="6"/>
  </si>
  <si>
    <t>据置期間</t>
    <rPh sb="0" eb="2">
      <t>スエオキ</t>
    </rPh>
    <rPh sb="2" eb="4">
      <t>キカン</t>
    </rPh>
    <phoneticPr fontId="6"/>
  </si>
  <si>
    <t>償還期間</t>
    <rPh sb="0" eb="4">
      <t>ショウカンキカン</t>
    </rPh>
    <phoneticPr fontId="6"/>
  </si>
  <si>
    <t>年</t>
    <rPh sb="0" eb="1">
      <t>ネン</t>
    </rPh>
    <phoneticPr fontId="6"/>
  </si>
  <si>
    <t>措置率</t>
    <rPh sb="0" eb="2">
      <t>ソチ</t>
    </rPh>
    <rPh sb="2" eb="3">
      <t>サンニュウリツ</t>
    </rPh>
    <phoneticPr fontId="6"/>
  </si>
  <si>
    <t>事業主体</t>
    <rPh sb="0" eb="4">
      <t>ジギョウシュタイ</t>
    </rPh>
    <phoneticPr fontId="6"/>
  </si>
  <si>
    <t>株式会社</t>
    <rPh sb="0" eb="4">
      <t>カブシキガイシャ</t>
    </rPh>
    <phoneticPr fontId="6"/>
  </si>
  <si>
    <t>自治体</t>
    <rPh sb="0" eb="3">
      <t>ジチタイ</t>
    </rPh>
    <phoneticPr fontId="6"/>
  </si>
  <si>
    <t>交付税措置</t>
    <rPh sb="0" eb="5">
      <t>コウフゼイソチ</t>
    </rPh>
    <phoneticPr fontId="6"/>
  </si>
  <si>
    <t>借入期間</t>
    <rPh sb="0" eb="2">
      <t>カリイレ</t>
    </rPh>
    <rPh sb="2" eb="4">
      <t>キカン</t>
    </rPh>
    <phoneticPr fontId="6"/>
  </si>
  <si>
    <t>償還方法</t>
    <rPh sb="0" eb="4">
      <t>ショウカンホウホウ</t>
    </rPh>
    <phoneticPr fontId="6"/>
  </si>
  <si>
    <t>元利均等</t>
    <rPh sb="0" eb="4">
      <t>ガンリキントウ</t>
    </rPh>
    <phoneticPr fontId="6"/>
  </si>
  <si>
    <t>利益保険</t>
    <phoneticPr fontId="6"/>
  </si>
  <si>
    <t>[交付税措置]</t>
    <rPh sb="1" eb="6">
      <t>コウフゼイソチ</t>
    </rPh>
    <phoneticPr fontId="6"/>
  </si>
  <si>
    <t>[一般財源]</t>
    <rPh sb="1" eb="5">
      <t>イッパンザイゲン</t>
    </rPh>
    <phoneticPr fontId="6"/>
  </si>
  <si>
    <t>一般財源</t>
    <rPh sb="0" eb="4">
      <t>イッパンザイゲン</t>
    </rPh>
    <phoneticPr fontId="6"/>
  </si>
  <si>
    <t>入</t>
    <rPh sb="0" eb="1">
      <t>イ</t>
    </rPh>
    <phoneticPr fontId="6"/>
  </si>
  <si>
    <t>合計</t>
    <rPh sb="0" eb="2">
      <t>ゴウケイ</t>
    </rPh>
    <phoneticPr fontId="6"/>
  </si>
  <si>
    <t>※機械保険の新調達価額算定係数は２７年間は1.00</t>
    <rPh sb="1" eb="3">
      <t>キカイ</t>
    </rPh>
    <rPh sb="3" eb="5">
      <t>ホケン</t>
    </rPh>
    <rPh sb="6" eb="9">
      <t>シンチョウタツ</t>
    </rPh>
    <rPh sb="9" eb="11">
      <t>カガク</t>
    </rPh>
    <rPh sb="11" eb="15">
      <t>サンテイケイスウ</t>
    </rPh>
    <rPh sb="18" eb="19">
      <t>ネン</t>
    </rPh>
    <rPh sb="19" eb="20">
      <t>マ</t>
    </rPh>
    <phoneticPr fontId="6"/>
  </si>
  <si>
    <t>円/年</t>
    <rPh sb="0" eb="1">
      <t>エン</t>
    </rPh>
    <rPh sb="2" eb="3">
      <t>ネン</t>
    </rPh>
    <phoneticPr fontId="6"/>
  </si>
  <si>
    <t>必須選択</t>
    <rPh sb="0" eb="2">
      <t>ヒッス</t>
    </rPh>
    <rPh sb="2" eb="4">
      <t>センタク</t>
    </rPh>
    <phoneticPr fontId="6"/>
  </si>
  <si>
    <t>株式会社or自治体</t>
    <rPh sb="0" eb="2">
      <t>カブシキ</t>
    </rPh>
    <rPh sb="2" eb="4">
      <t>カイシャ</t>
    </rPh>
    <rPh sb="6" eb="9">
      <t>ジチタイ</t>
    </rPh>
    <phoneticPr fontId="6"/>
  </si>
  <si>
    <t>発電所の数</t>
    <rPh sb="0" eb="3">
      <t>ハツデンショ</t>
    </rPh>
    <rPh sb="4" eb="5">
      <t>カズ</t>
    </rPh>
    <phoneticPr fontId="6"/>
  </si>
  <si>
    <t>最大出力</t>
    <rPh sb="0" eb="2">
      <t>サイダイ</t>
    </rPh>
    <rPh sb="2" eb="4">
      <t>シュツリョク</t>
    </rPh>
    <phoneticPr fontId="6"/>
  </si>
  <si>
    <t>出力規模</t>
    <rPh sb="0" eb="4">
      <t>シュツリョクキボ</t>
    </rPh>
    <phoneticPr fontId="6"/>
  </si>
  <si>
    <t>暗渠or開渠</t>
    <rPh sb="0" eb="2">
      <t>アンキョ</t>
    </rPh>
    <rPh sb="4" eb="6">
      <t>カイキョ</t>
    </rPh>
    <phoneticPr fontId="6"/>
  </si>
  <si>
    <t>なしorヘッドタンクorサージタンク</t>
    <phoneticPr fontId="6"/>
  </si>
  <si>
    <t>　　</t>
    <phoneticPr fontId="6"/>
  </si>
  <si>
    <t>ゲート有無を選択　圧力式は別途検討</t>
    <rPh sb="3" eb="5">
      <t>ウム</t>
    </rPh>
    <rPh sb="6" eb="8">
      <t>センタク</t>
    </rPh>
    <phoneticPr fontId="6"/>
  </si>
  <si>
    <t>元利均等のみ対応</t>
    <phoneticPr fontId="6"/>
  </si>
  <si>
    <t>自動計算の場合、建設費の1%を毎年計上</t>
    <rPh sb="0" eb="4">
      <t>ジドウケイサン</t>
    </rPh>
    <rPh sb="5" eb="7">
      <t>バアイ</t>
    </rPh>
    <phoneticPr fontId="6"/>
  </si>
  <si>
    <t>(2)+(3)+(4)+(5)の合計の5%</t>
    <phoneticPr fontId="6"/>
  </si>
  <si>
    <t>①＋②＋③</t>
    <phoneticPr fontId="6"/>
  </si>
  <si>
    <t>a〜iの合計*5%</t>
    <phoneticPr fontId="6"/>
  </si>
  <si>
    <t>a〜kの合計*3%</t>
    <phoneticPr fontId="6"/>
  </si>
  <si>
    <t>(2)+(3)+(4)の合計の10% +取付道路工事費</t>
    <phoneticPr fontId="6"/>
  </si>
  <si>
    <t>人件費、調査委託費、設備償却費、事務関係費、冬季休止経費</t>
    <phoneticPr fontId="6"/>
  </si>
  <si>
    <t>（７）小計の１％</t>
    <phoneticPr fontId="6"/>
  </si>
  <si>
    <t>円/日</t>
    <rPh sb="0" eb="1">
      <t>エン</t>
    </rPh>
    <rPh sb="2" eb="3">
      <t>ニチ</t>
    </rPh>
    <phoneticPr fontId="6"/>
  </si>
  <si>
    <t>円/回</t>
    <rPh sb="0" eb="1">
      <t>エン</t>
    </rPh>
    <rPh sb="2" eb="3">
      <t>カイ</t>
    </rPh>
    <phoneticPr fontId="6"/>
  </si>
  <si>
    <t>鉄管or鉄管以外</t>
    <rPh sb="0" eb="2">
      <t>テッカン</t>
    </rPh>
    <rPh sb="4" eb="6">
      <t>テッカン</t>
    </rPh>
    <rPh sb="6" eb="8">
      <t>イガイ</t>
    </rPh>
    <phoneticPr fontId="6"/>
  </si>
  <si>
    <t>渇水量、355日水量と同義　流水占用料算出に使用する</t>
    <rPh sb="0" eb="2">
      <t>カッスイリョウ</t>
    </rPh>
    <rPh sb="2" eb="3">
      <t>リョウ</t>
    </rPh>
    <rPh sb="7" eb="8">
      <t>ニチ</t>
    </rPh>
    <rPh sb="8" eb="10">
      <t>スイリョウ</t>
    </rPh>
    <rPh sb="11" eb="13">
      <t>ドウギ</t>
    </rPh>
    <rPh sb="14" eb="19">
      <t>リュウスイ</t>
    </rPh>
    <rPh sb="19" eb="21">
      <t>サンシュツ</t>
    </rPh>
    <rPh sb="22" eb="24">
      <t>シヨウ</t>
    </rPh>
    <phoneticPr fontId="6"/>
  </si>
  <si>
    <t>必須</t>
    <rPh sb="0" eb="2">
      <t>ヒッス</t>
    </rPh>
    <phoneticPr fontId="6"/>
  </si>
  <si>
    <t>設備利用率(通常は50〜70%)　売電収入算出に必須</t>
    <rPh sb="0" eb="5">
      <t>セツビリヨウ</t>
    </rPh>
    <rPh sb="6" eb="8">
      <t>ツウジョウ</t>
    </rPh>
    <rPh sb="17" eb="19">
      <t>バイデン</t>
    </rPh>
    <rPh sb="19" eb="21">
      <t>シュウニュウ</t>
    </rPh>
    <rPh sb="21" eb="23">
      <t>サンシュツ</t>
    </rPh>
    <rPh sb="24" eb="26">
      <t>ヒッス</t>
    </rPh>
    <phoneticPr fontId="6"/>
  </si>
  <si>
    <t>試算値がある場合は手入力を選択し、手入力欄に入力します。試算値がない場合は自動計算を選択して下さい</t>
    <phoneticPr fontId="6"/>
  </si>
  <si>
    <t>１日当たりの点検人件費</t>
    <rPh sb="1" eb="2">
      <t>ニチ</t>
    </rPh>
    <rPh sb="2" eb="3">
      <t>ア</t>
    </rPh>
    <rPh sb="6" eb="8">
      <t>テンケン</t>
    </rPh>
    <rPh sb="8" eb="11">
      <t>ジンケンヒ</t>
    </rPh>
    <phoneticPr fontId="6"/>
  </si>
  <si>
    <t>部品交換の際の外注費</t>
    <rPh sb="0" eb="4">
      <t>ブヒンコウカン</t>
    </rPh>
    <rPh sb="5" eb="6">
      <t>サイ</t>
    </rPh>
    <rPh sb="7" eb="10">
      <t>ガイチュウヒ</t>
    </rPh>
    <phoneticPr fontId="6"/>
  </si>
  <si>
    <t>売電収入(余剰)</t>
    <rPh sb="0" eb="2">
      <t>ウリデン</t>
    </rPh>
    <rPh sb="2" eb="4">
      <t>シュウニュウ</t>
    </rPh>
    <rPh sb="5" eb="7">
      <t>ヨジョウ</t>
    </rPh>
    <phoneticPr fontId="6"/>
  </si>
  <si>
    <t>自動計算</t>
    <rPh sb="0" eb="4">
      <t>ジドウケイサン</t>
    </rPh>
    <phoneticPr fontId="6"/>
  </si>
  <si>
    <t>取水ダム有無</t>
    <rPh sb="0" eb="4">
      <t>シュスイダ</t>
    </rPh>
    <rPh sb="4" eb="6">
      <t>ウム</t>
    </rPh>
    <phoneticPr fontId="6"/>
  </si>
  <si>
    <t>電気工事の外注費</t>
    <rPh sb="0" eb="4">
      <t>デンキコウジ</t>
    </rPh>
    <rPh sb="5" eb="8">
      <t>ガイチュウヒ</t>
    </rPh>
    <phoneticPr fontId="6"/>
  </si>
  <si>
    <t>道路を新設する距離</t>
    <rPh sb="0" eb="2">
      <t>ドウロ</t>
    </rPh>
    <rPh sb="3" eb="5">
      <t>シンセツ</t>
    </rPh>
    <rPh sb="7" eb="9">
      <t>キョリ</t>
    </rPh>
    <phoneticPr fontId="6"/>
  </si>
  <si>
    <t>トンネル道路を新設する距離</t>
    <rPh sb="4" eb="6">
      <t>ドウロ</t>
    </rPh>
    <rPh sb="7" eb="9">
      <t>シンセツ</t>
    </rPh>
    <rPh sb="11" eb="13">
      <t>キョリ</t>
    </rPh>
    <phoneticPr fontId="6"/>
  </si>
  <si>
    <t>道路改良工事をする距離</t>
    <rPh sb="0" eb="2">
      <t>ドウロ</t>
    </rPh>
    <rPh sb="2" eb="6">
      <t>カイリョウコウジ</t>
    </rPh>
    <rPh sb="9" eb="11">
      <t>キョリ</t>
    </rPh>
    <phoneticPr fontId="6"/>
  </si>
  <si>
    <t>冬季に工事を中断するかどうかを選択</t>
    <rPh sb="0" eb="2">
      <t>トウキ</t>
    </rPh>
    <rPh sb="3" eb="5">
      <t>コウジ</t>
    </rPh>
    <rPh sb="6" eb="8">
      <t>チュウダン</t>
    </rPh>
    <rPh sb="15" eb="17">
      <t>センタク</t>
    </rPh>
    <phoneticPr fontId="6"/>
  </si>
  <si>
    <t>取水堰　河川の水を取り入れるために設ける低いダム、または堰</t>
    <rPh sb="0" eb="2">
      <t>シュスイセ</t>
    </rPh>
    <rPh sb="2" eb="3">
      <t>セキ</t>
    </rPh>
    <rPh sb="4" eb="6">
      <t>カセン</t>
    </rPh>
    <rPh sb="7" eb="8">
      <t>ミズ</t>
    </rPh>
    <rPh sb="9" eb="10">
      <t>ト</t>
    </rPh>
    <rPh sb="11" eb="12">
      <t>イ</t>
    </rPh>
    <rPh sb="17" eb="18">
      <t>モウ</t>
    </rPh>
    <rPh sb="20" eb="21">
      <t>ヒク</t>
    </rPh>
    <rPh sb="28" eb="29">
      <t>セキ</t>
    </rPh>
    <phoneticPr fontId="6"/>
  </si>
  <si>
    <t>維持作業１回当たりの交通費</t>
    <rPh sb="0" eb="2">
      <t>イジヒヨウ</t>
    </rPh>
    <rPh sb="2" eb="4">
      <t>サギョウ</t>
    </rPh>
    <rPh sb="5" eb="6">
      <t>カイ</t>
    </rPh>
    <rPh sb="6" eb="7">
      <t>ア</t>
    </rPh>
    <rPh sb="10" eb="13">
      <t>コウツウヒ</t>
    </rPh>
    <phoneticPr fontId="6"/>
  </si>
  <si>
    <t>遠隔監視システム費用(月額)</t>
    <rPh sb="0" eb="4">
      <t>エンカクカンシ</t>
    </rPh>
    <rPh sb="8" eb="10">
      <t>ヒヨウ</t>
    </rPh>
    <rPh sb="11" eb="13">
      <t>ゲツガク</t>
    </rPh>
    <phoneticPr fontId="6"/>
  </si>
  <si>
    <t>遠隔監視システム費用</t>
    <rPh sb="0" eb="4">
      <t>エンカクカンシ</t>
    </rPh>
    <rPh sb="8" eb="10">
      <t>ヒヨウ</t>
    </rPh>
    <phoneticPr fontId="6"/>
  </si>
  <si>
    <t>計算方法については報告書　概算費工事費算定式　を参照</t>
    <rPh sb="0" eb="4">
      <t>ケイサンホウホウ</t>
    </rPh>
    <rPh sb="9" eb="12">
      <t>ホウコクショ</t>
    </rPh>
    <rPh sb="24" eb="26">
      <t>サンショウ</t>
    </rPh>
    <phoneticPr fontId="6"/>
  </si>
  <si>
    <t>露出</t>
  </si>
  <si>
    <t>トンネル式は埋設を選択</t>
    <rPh sb="4" eb="5">
      <t>シキ</t>
    </rPh>
    <rPh sb="6" eb="8">
      <t>マイセツ</t>
    </rPh>
    <rPh sb="9" eb="11">
      <t>センタク</t>
    </rPh>
    <phoneticPr fontId="6"/>
  </si>
  <si>
    <t>　　水圧管１と種類、敷設方式が異なる区間がある場合は入力</t>
    <phoneticPr fontId="6"/>
  </si>
  <si>
    <t>水車種類を選択</t>
    <rPh sb="0" eb="2">
      <t>スイシャ</t>
    </rPh>
    <rPh sb="2" eb="4">
      <t>シュルイ</t>
    </rPh>
    <rPh sb="5" eb="7">
      <t>センタク</t>
    </rPh>
    <phoneticPr fontId="6"/>
  </si>
  <si>
    <t>暗渠or開渠を選択</t>
    <rPh sb="0" eb="2">
      <t>アンキョ</t>
    </rPh>
    <rPh sb="4" eb="6">
      <t>カイキョ</t>
    </rPh>
    <rPh sb="7" eb="9">
      <t>センタク</t>
    </rPh>
    <phoneticPr fontId="6"/>
  </si>
  <si>
    <t>■工事費自動計算パラメーター</t>
    <rPh sb="1" eb="4">
      <t>コウジヒ</t>
    </rPh>
    <rPh sb="4" eb="8">
      <t>ジドウケイサン</t>
    </rPh>
    <phoneticPr fontId="6"/>
  </si>
  <si>
    <t>■工事費計算用パラメーター</t>
    <rPh sb="1" eb="4">
      <t>コウジヒ</t>
    </rPh>
    <rPh sb="4" eb="7">
      <t>ケイサンヨウ</t>
    </rPh>
    <phoneticPr fontId="6"/>
  </si>
  <si>
    <t>■初期費用入力項目</t>
    <rPh sb="1" eb="5">
      <t>ショキヒヨウ</t>
    </rPh>
    <rPh sb="5" eb="9">
      <t>ニュウリョクコウモク</t>
    </rPh>
    <phoneticPr fontId="6"/>
  </si>
  <si>
    <t>■初期費用計算結果</t>
    <rPh sb="1" eb="3">
      <t>ショキ</t>
    </rPh>
    <rPh sb="3" eb="5">
      <t>ヒヨウ</t>
    </rPh>
    <rPh sb="5" eb="7">
      <t>ケイサンヨウ</t>
    </rPh>
    <rPh sb="7" eb="9">
      <t>ケッカ</t>
    </rPh>
    <phoneticPr fontId="6"/>
  </si>
  <si>
    <t>初期費用合計(工事費合計＋調査費＋設計費＋系統連係費用＋高圧配電費＋電力契約諸費用)-補助金合計</t>
    <rPh sb="0" eb="6">
      <t>ショキヒヨウゴウケイ</t>
    </rPh>
    <rPh sb="7" eb="12">
      <t>コウジヒゴウケイ</t>
    </rPh>
    <rPh sb="13" eb="16">
      <t>チョウサヒ</t>
    </rPh>
    <rPh sb="17" eb="20">
      <t>セッケイヒ</t>
    </rPh>
    <rPh sb="21" eb="25">
      <t>ケイトウレンケイ</t>
    </rPh>
    <rPh sb="25" eb="27">
      <t>ヒヨウ</t>
    </rPh>
    <rPh sb="28" eb="33">
      <t>コウアツハイデンヒ</t>
    </rPh>
    <rPh sb="34" eb="38">
      <t>デンリョクケイヤク</t>
    </rPh>
    <rPh sb="38" eb="41">
      <t>ショヒヨウ</t>
    </rPh>
    <rPh sb="43" eb="48">
      <t>ホジョキンゴウケイ</t>
    </rPh>
    <phoneticPr fontId="6"/>
  </si>
  <si>
    <t>高圧配電費</t>
    <rPh sb="0" eb="2">
      <t>コウアツ</t>
    </rPh>
    <rPh sb="2" eb="4">
      <t>ハイデン</t>
    </rPh>
    <rPh sb="4" eb="5">
      <t>ヒ</t>
    </rPh>
    <phoneticPr fontId="6"/>
  </si>
  <si>
    <t>自動計算</t>
    <rPh sb="0" eb="4">
      <t>ジドウケイサン</t>
    </rPh>
    <phoneticPr fontId="6"/>
  </si>
  <si>
    <t>合計値</t>
    <rPh sb="0" eb="3">
      <t>ゴウケイチ</t>
    </rPh>
    <phoneticPr fontId="6"/>
  </si>
  <si>
    <t>想定値を入力　</t>
    <rPh sb="0" eb="3">
      <t>ソウテイチ</t>
    </rPh>
    <rPh sb="4" eb="6">
      <t>ニュウリョク</t>
    </rPh>
    <phoneticPr fontId="6"/>
  </si>
  <si>
    <t>交付税合計</t>
    <rPh sb="0" eb="3">
      <t>コウフゼイ</t>
    </rPh>
    <rPh sb="3" eb="5">
      <t>ゴウケイ</t>
    </rPh>
    <phoneticPr fontId="6"/>
  </si>
  <si>
    <t>PL</t>
    <phoneticPr fontId="6"/>
  </si>
  <si>
    <t>PL</t>
    <phoneticPr fontId="6"/>
  </si>
  <si>
    <t>AS</t>
    <phoneticPr fontId="6"/>
  </si>
  <si>
    <t>[キャッシュフロー]</t>
    <phoneticPr fontId="6"/>
  </si>
  <si>
    <t>PL</t>
    <phoneticPr fontId="6"/>
  </si>
  <si>
    <t>PL</t>
    <phoneticPr fontId="6"/>
  </si>
  <si>
    <t>PL</t>
    <phoneticPr fontId="6"/>
  </si>
  <si>
    <t>FNC</t>
    <phoneticPr fontId="6"/>
  </si>
  <si>
    <t>FNC</t>
    <phoneticPr fontId="6"/>
  </si>
  <si>
    <t>FNC</t>
    <phoneticPr fontId="6"/>
  </si>
  <si>
    <t>FNC</t>
    <phoneticPr fontId="6"/>
  </si>
  <si>
    <t>充当率×参入率</t>
    <rPh sb="0" eb="3">
      <t>ジュウトウリツ</t>
    </rPh>
    <rPh sb="4" eb="7">
      <t>サンニュウリツ</t>
    </rPh>
    <phoneticPr fontId="6"/>
  </si>
  <si>
    <t>(借入×措置率)</t>
    <rPh sb="1" eb="3">
      <t>カリイレ</t>
    </rPh>
    <rPh sb="4" eb="7">
      <t>ソチリツ</t>
    </rPh>
    <phoneticPr fontId="6"/>
  </si>
  <si>
    <t>初年度一般財源(事業費×(1-充当率))</t>
    <rPh sb="0" eb="3">
      <t>ショネンド</t>
    </rPh>
    <rPh sb="3" eb="7">
      <t>イッパンザイゲン</t>
    </rPh>
    <phoneticPr fontId="6"/>
  </si>
  <si>
    <t>開渠</t>
  </si>
  <si>
    <t>ヘッドタンク</t>
  </si>
  <si>
    <t>30万円〜　※ただし系統管理者との交渉により金額が変わります。</t>
    <rPh sb="2" eb="4">
      <t>マンエン</t>
    </rPh>
    <rPh sb="10" eb="15">
      <t>ケイトウカンリシャ</t>
    </rPh>
    <rPh sb="17" eb="19">
      <t>コウショウ</t>
    </rPh>
    <rPh sb="22" eb="24">
      <t>キンガク</t>
    </rPh>
    <rPh sb="25" eb="26">
      <t>カ</t>
    </rPh>
    <phoneticPr fontId="6"/>
  </si>
  <si>
    <t>工事費を自動計算するためのパラメータを入力します。</t>
    <rPh sb="0" eb="3">
      <t>コウジヒ</t>
    </rPh>
    <rPh sb="4" eb="8">
      <t>ジドウケイサン</t>
    </rPh>
    <rPh sb="19" eb="21">
      <t>ニュウリョク</t>
    </rPh>
    <phoneticPr fontId="6"/>
  </si>
  <si>
    <t>発電諸元の情報を入力します。</t>
    <rPh sb="0" eb="4">
      <t>ハツデンショゲン</t>
    </rPh>
    <rPh sb="5" eb="7">
      <t>ジョウホウ</t>
    </rPh>
    <rPh sb="8" eb="10">
      <t>ニュウリョク</t>
    </rPh>
    <phoneticPr fontId="6"/>
  </si>
  <si>
    <t>　　　</t>
    <phoneticPr fontId="6"/>
  </si>
  <si>
    <t>維持管理費を入力します。</t>
    <rPh sb="0" eb="5">
      <t>イジカンリヒ</t>
    </rPh>
    <rPh sb="6" eb="8">
      <t>ニュウリョク</t>
    </rPh>
    <phoneticPr fontId="6"/>
  </si>
  <si>
    <t>利用可能な地方債の充当率等を入力します(事業主体＝自治体の場合のみ入力可能)。</t>
    <rPh sb="0" eb="4">
      <t>リヨウカノウ</t>
    </rPh>
    <rPh sb="5" eb="8">
      <t>チホウサイ</t>
    </rPh>
    <rPh sb="9" eb="12">
      <t>ジュウトウリツ</t>
    </rPh>
    <rPh sb="12" eb="13">
      <t>トウ</t>
    </rPh>
    <rPh sb="14" eb="16">
      <t>ニュウリョク</t>
    </rPh>
    <rPh sb="35" eb="37">
      <t>カノウ</t>
    </rPh>
    <phoneticPr fontId="6"/>
  </si>
  <si>
    <t>諸税の税率を入力します。</t>
    <rPh sb="0" eb="2">
      <t>ショゼイ</t>
    </rPh>
    <rPh sb="3" eb="5">
      <t>ゼイリツ</t>
    </rPh>
    <rPh sb="6" eb="8">
      <t>ニュウリョク</t>
    </rPh>
    <phoneticPr fontId="6"/>
  </si>
  <si>
    <t>その他収益に影響する項目を入力します。</t>
    <rPh sb="2" eb="3">
      <t>タ</t>
    </rPh>
    <rPh sb="3" eb="5">
      <t>シュウエキ</t>
    </rPh>
    <rPh sb="6" eb="8">
      <t>エイキョウ</t>
    </rPh>
    <rPh sb="10" eb="12">
      <t>コウモク</t>
    </rPh>
    <rPh sb="13" eb="15">
      <t>ニュウリョク</t>
    </rPh>
    <phoneticPr fontId="6"/>
  </si>
  <si>
    <t>■工事費自動計算結果</t>
    <rPh sb="1" eb="4">
      <t>コウジヒ</t>
    </rPh>
    <rPh sb="4" eb="8">
      <t>ジドウケイサン</t>
    </rPh>
    <rPh sb="8" eb="10">
      <t>ケッカ</t>
    </rPh>
    <phoneticPr fontId="6"/>
  </si>
  <si>
    <t>←計算のもとにする項目です</t>
    <rPh sb="1" eb="3">
      <t>ケイサン</t>
    </rPh>
    <rPh sb="9" eb="11">
      <t>コウモク</t>
    </rPh>
    <phoneticPr fontId="6"/>
  </si>
  <si>
    <t>←自動計算する項目(入力不可)</t>
    <rPh sb="1" eb="5">
      <t>ジドウケイサン</t>
    </rPh>
    <rPh sb="7" eb="9">
      <t>コウモク</t>
    </rPh>
    <rPh sb="10" eb="12">
      <t>ニュウリョク</t>
    </rPh>
    <rPh sb="12" eb="14">
      <t>フカ</t>
    </rPh>
    <phoneticPr fontId="6"/>
  </si>
  <si>
    <t>パラメータ入力</t>
    <rPh sb="5" eb="7">
      <t>ニュウリョク</t>
    </rPh>
    <phoneticPr fontId="6"/>
  </si>
  <si>
    <t>(自治体の場合、事業費×充当率)</t>
    <rPh sb="1" eb="4">
      <t>ジチタイ</t>
    </rPh>
    <rPh sb="5" eb="7">
      <t>バアイ</t>
    </rPh>
    <phoneticPr fontId="6"/>
  </si>
  <si>
    <r>
      <rPr>
        <sz val="11"/>
        <rFont val="ＭＳ Ｐゴシック"/>
        <family val="3"/>
        <charset val="128"/>
      </rPr>
      <t>支払利息</t>
    </r>
    <rPh sb="0" eb="2">
      <t>シハライ</t>
    </rPh>
    <rPh sb="2" eb="4">
      <t>リソク</t>
    </rPh>
    <phoneticPr fontId="6"/>
  </si>
  <si>
    <t>補助金圧縮</t>
    <rPh sb="0" eb="5">
      <t>ホジョキンアッシュク</t>
    </rPh>
    <phoneticPr fontId="6"/>
  </si>
  <si>
    <t>補助金金額を入力します。(当試算上は機械購入に充てられます）</t>
    <rPh sb="0" eb="3">
      <t>ホジョキン</t>
    </rPh>
    <rPh sb="3" eb="5">
      <t>キンガク</t>
    </rPh>
    <rPh sb="6" eb="8">
      <t>ニュウリョク</t>
    </rPh>
    <rPh sb="13" eb="14">
      <t>トウ</t>
    </rPh>
    <rPh sb="14" eb="16">
      <t>シサン</t>
    </rPh>
    <rPh sb="16" eb="17">
      <t>ケイサンジョウ</t>
    </rPh>
    <rPh sb="18" eb="22">
      <t>キカイ</t>
    </rPh>
    <rPh sb="23" eb="24">
      <t>ア</t>
    </rPh>
    <phoneticPr fontId="6"/>
  </si>
  <si>
    <r>
      <t xml:space="preserve">建屋の構造を選択(地上式のみ対応)
</t>
    </r>
    <r>
      <rPr>
        <b/>
        <sz val="11"/>
        <color rgb="FFFF0000"/>
        <rFont val="ＭＳ Ｐゴシック"/>
        <charset val="128"/>
      </rPr>
      <t>※減価償却計算に使用するため、工事費手入力の場合も必須入力</t>
    </r>
    <rPh sb="0" eb="2">
      <t>タテヤ</t>
    </rPh>
    <rPh sb="3" eb="5">
      <t>コウゾウ</t>
    </rPh>
    <rPh sb="6" eb="8">
      <t>センタク</t>
    </rPh>
    <rPh sb="9" eb="12">
      <t>チジョウシキ</t>
    </rPh>
    <rPh sb="14" eb="16">
      <t>タイオウ</t>
    </rPh>
    <rPh sb="19" eb="23">
      <t>ゲンカショウ</t>
    </rPh>
    <rPh sb="23" eb="25">
      <t>ケイサン</t>
    </rPh>
    <rPh sb="26" eb="28">
      <t>シヨウ</t>
    </rPh>
    <rPh sb="33" eb="36">
      <t>コウジヒ</t>
    </rPh>
    <rPh sb="36" eb="37">
      <t>テ</t>
    </rPh>
    <rPh sb="37" eb="39">
      <t>ニュウリョク</t>
    </rPh>
    <rPh sb="40" eb="42">
      <t>バアイ</t>
    </rPh>
    <rPh sb="43" eb="45">
      <t>ヒッス</t>
    </rPh>
    <rPh sb="45" eb="47">
      <t>ニュウリョク</t>
    </rPh>
    <phoneticPr fontId="6"/>
  </si>
  <si>
    <t>修繕引当金を自動計算しない場合は入力</t>
    <rPh sb="2" eb="4">
      <t>ヒキアテ</t>
    </rPh>
    <phoneticPr fontId="6"/>
  </si>
  <si>
    <t>特別修繕積立金</t>
    <rPh sb="0" eb="2">
      <t>トクベツ</t>
    </rPh>
    <rPh sb="2" eb="7">
      <t>シュウゼン</t>
    </rPh>
    <phoneticPr fontId="6"/>
  </si>
  <si>
    <t>特別修繕積立金自動計算</t>
    <rPh sb="0" eb="2">
      <t>トクベツ</t>
    </rPh>
    <rPh sb="2" eb="7">
      <t>シュウz</t>
    </rPh>
    <rPh sb="7" eb="11">
      <t>ジドウケイサン</t>
    </rPh>
    <phoneticPr fontId="6"/>
  </si>
  <si>
    <t>特別修繕積立金　手入力</t>
    <rPh sb="0" eb="2">
      <t>トクベツ</t>
    </rPh>
    <rPh sb="2" eb="7">
      <t>シュウ</t>
    </rPh>
    <rPh sb="8" eb="11">
      <t>テニュウリョク</t>
    </rPh>
    <phoneticPr fontId="6"/>
  </si>
  <si>
    <t>動作確認環境：Excel2002(SP3),Excel2011</t>
    <rPh sb="0" eb="6">
      <t>ドウサカクニンカンキョウ</t>
    </rPh>
    <phoneticPr fontId="6"/>
  </si>
  <si>
    <t>必須</t>
    <rPh sb="0" eb="2">
      <t>ヒッス</t>
    </rPh>
    <phoneticPr fontId="6"/>
  </si>
  <si>
    <t>流水占用料</t>
    <rPh sb="0" eb="5">
      <t>リュウスイセンヨウ</t>
    </rPh>
    <phoneticPr fontId="6"/>
  </si>
  <si>
    <t>自動計算</t>
    <rPh sb="0" eb="4">
      <t>ジドウケイサン</t>
    </rPh>
    <phoneticPr fontId="6"/>
  </si>
  <si>
    <t>水利の使用料金　常時使用水量、最大使用水量から自動計算</t>
    <rPh sb="0" eb="2">
      <t>スイリ</t>
    </rPh>
    <rPh sb="3" eb="6">
      <t>シヨウリョウ</t>
    </rPh>
    <rPh sb="6" eb="7">
      <t>キン</t>
    </rPh>
    <rPh sb="23" eb="25">
      <t>ジドウ</t>
    </rPh>
    <rPh sb="25" eb="27">
      <t>シドウケイサン</t>
    </rPh>
    <phoneticPr fontId="6"/>
  </si>
  <si>
    <t>流水占用料</t>
    <rPh sb="0" eb="5">
      <t>リュウ</t>
    </rPh>
    <phoneticPr fontId="6"/>
  </si>
  <si>
    <t>必須選択</t>
    <rPh sb="0" eb="4">
      <t>ヒッスセンタク</t>
    </rPh>
    <phoneticPr fontId="6"/>
  </si>
  <si>
    <t>なしの想定</t>
    <rPh sb="3" eb="5">
      <t>ソウテイ</t>
    </rPh>
    <phoneticPr fontId="6"/>
  </si>
  <si>
    <t>工事費以外の初期費用を入力します。不明の場合は想定値で入力して下さい。※事業費合計に参入します</t>
    <rPh sb="0" eb="3">
      <t>コウジヒ</t>
    </rPh>
    <rPh sb="3" eb="5">
      <t>イガイ</t>
    </rPh>
    <rPh sb="6" eb="10">
      <t>ショキヒヨウ</t>
    </rPh>
    <rPh sb="11" eb="13">
      <t>ニュウリョク</t>
    </rPh>
    <rPh sb="17" eb="19">
      <t>フメイ</t>
    </rPh>
    <rPh sb="20" eb="22">
      <t>バアイ</t>
    </rPh>
    <rPh sb="23" eb="26">
      <t>ソウテイチ</t>
    </rPh>
    <rPh sb="27" eb="29">
      <t>ニュウリョク</t>
    </rPh>
    <rPh sb="31" eb="32">
      <t>クダ</t>
    </rPh>
    <rPh sb="36" eb="39">
      <t>ジギョウヒ</t>
    </rPh>
    <rPh sb="39" eb="41">
      <t>ゴウケイ</t>
    </rPh>
    <rPh sb="42" eb="44">
      <t>サンニュウ</t>
    </rPh>
    <phoneticPr fontId="6"/>
  </si>
  <si>
    <t>発電所の候補地が見つかり、落差や使える流量の概算、発電所の出力規模、水車の種類などが</t>
  </si>
  <si>
    <t>決まった段階以降で工事費や事業計画の試算にお使い下さい。</t>
  </si>
  <si>
    <t>工事費等を入力すると、損益計算書、貸借対照表、キャッシュフロー(PL1シート)、</t>
  </si>
  <si>
    <t>資金の返済計画(FNC1シート)、減価償却情報(AS1シート)を作成します。</t>
  </si>
  <si>
    <t>メンテナンス料のシュミレーションを小水力運用シートに表示します。</t>
  </si>
  <si>
    <t>保険料シート、共済シートは利率等の条件を入力し、シュミレーションを表示します。</t>
  </si>
  <si>
    <t>正確に分からなければ大体の想定値などでも可。</t>
  </si>
  <si>
    <t>■発電所情報パラメーター</t>
  </si>
  <si>
    <t>常時使用水量以外必須入力</t>
  </si>
  <si>
    <t>常時使用水量は流水占用料の算出に使用します。</t>
  </si>
  <si>
    <t>正確な数値が分からなければ最大使用水量と同じで可。</t>
  </si>
  <si>
    <t>■初期費用入力項目</t>
  </si>
  <si>
    <t>把握している、又は想定金額を入力します。</t>
  </si>
  <si>
    <t>■補助金</t>
  </si>
  <si>
    <t>■地方債</t>
  </si>
  <si>
    <t>事業主体＝自治体の場合のみ有効</t>
  </si>
  <si>
    <t>■維持管理費</t>
  </si>
  <si>
    <t>流水占用料は自動計算項目です。</t>
  </si>
  <si>
    <t>特別修繕積立金は自動計算(年1％程度)か手入力を選択、</t>
  </si>
  <si>
    <t>手入力の場合は金額を入力します。</t>
  </si>
  <si>
    <t>点検人件費、水車部品交換工事外注費、電気工事外注費は一回当たりの料金を入力(想定値で可)</t>
  </si>
  <si>
    <t>予想される業務発生確率と併せて年間メンテナンス費用の算出に使用します。</t>
  </si>
  <si>
    <t>■諸税</t>
  </si>
  <si>
    <t>各税率を入力します。</t>
  </si>
  <si>
    <t>■固定値</t>
  </si>
  <si>
    <t>融資の利率や売電単価を入力します（想定値で可）</t>
  </si>
  <si>
    <t>■工事費計算用パラメーター</t>
  </si>
  <si>
    <t>工事費を自動計算するか、手入力するかを選択し、</t>
  </si>
  <si>
    <t>手入力の場合はそれぞれ金額を入力します。</t>
  </si>
  <si>
    <t>※調査事業等の試算金額があれば手入力します</t>
  </si>
  <si>
    <t>※自動計算の場合、工事費自動計算パラメーターを入力すると、</t>
  </si>
  <si>
    <t>中小水力ガイドブックの概算工事費算出のロジックに沿って算出し、</t>
  </si>
  <si>
    <t>結果を工事費自動計算結果エリアに表示します。</t>
  </si>
  <si>
    <t>※これ以降は計算結果の表示エリアです</t>
  </si>
  <si>
    <t>■計算値</t>
  </si>
  <si>
    <t>年間発電量他、事業収益性に関わる数値を表示します。</t>
  </si>
  <si>
    <t>■初期費用計算結果</t>
  </si>
  <si>
    <t>事業費の合計と内訳を表示します。</t>
  </si>
  <si>
    <t>■工事費自動計算結果</t>
  </si>
  <si>
    <t>発電所情報パラメーターや工事費計算用パラメーターから算出した結果を表示します。</t>
  </si>
  <si>
    <t>※工事費自動計算パラメーターで手入力、した費目についても自動計算結果が表示されます。</t>
  </si>
  <si>
    <t>【当シートの概要】</t>
    <rPh sb="1" eb="2">
      <t>トウ</t>
    </rPh>
    <rPh sb="6" eb="8">
      <t>ガイヨウ</t>
    </rPh>
    <phoneticPr fontId="6"/>
  </si>
  <si>
    <t>【機能概要】</t>
    <rPh sb="1" eb="5">
      <t>キノウガイヨウ</t>
    </rPh>
    <phoneticPr fontId="6"/>
  </si>
  <si>
    <t>使用手順</t>
    <rPh sb="0" eb="4">
      <t>シヨウテジュン</t>
    </rPh>
    <phoneticPr fontId="6"/>
  </si>
  <si>
    <t>発電所条件の情報や、工事費などを把握できている限りで入力します。</t>
    <phoneticPr fontId="6"/>
  </si>
  <si>
    <t>共通事項</t>
    <rPh sb="0" eb="4">
      <t>キョウツウジコウ</t>
    </rPh>
    <phoneticPr fontId="6"/>
  </si>
  <si>
    <t>入力可能</t>
    <rPh sb="0" eb="4">
      <t>ニュウリョクカノウ</t>
    </rPh>
    <phoneticPr fontId="6"/>
  </si>
  <si>
    <t>入力不可（計算値を表示)</t>
    <rPh sb="0" eb="4">
      <t>ニュウリョクフカ</t>
    </rPh>
    <rPh sb="5" eb="8">
      <t>ケイサンチ</t>
    </rPh>
    <rPh sb="9" eb="11">
      <t>ヒョウジ</t>
    </rPh>
    <phoneticPr fontId="6"/>
  </si>
  <si>
    <t>パラメータシートの入力</t>
    <rPh sb="9" eb="11">
      <t>ニュウリョク</t>
    </rPh>
    <phoneticPr fontId="6"/>
  </si>
  <si>
    <t>①</t>
    <phoneticPr fontId="6"/>
  </si>
  <si>
    <t>※</t>
    <phoneticPr fontId="6"/>
  </si>
  <si>
    <t>②</t>
    <phoneticPr fontId="6"/>
  </si>
  <si>
    <t>小水力運用シート</t>
    <rPh sb="0" eb="3">
      <t>ショウスイ</t>
    </rPh>
    <rPh sb="3" eb="5">
      <t>ウンヨウ</t>
    </rPh>
    <phoneticPr fontId="6"/>
  </si>
  <si>
    <t>業務発生確率を入力します。</t>
    <rPh sb="0" eb="6">
      <t>ギョウムハッセイカクリツ</t>
    </rPh>
    <rPh sb="7" eb="9">
      <t>ニュウリョク</t>
    </rPh>
    <phoneticPr fontId="6"/>
  </si>
  <si>
    <t>初期状態では想定される頻度を入力しています。</t>
    <rPh sb="0" eb="4">
      <t>ショキジョウタイ</t>
    </rPh>
    <rPh sb="6" eb="8">
      <t>ソウテイ</t>
    </rPh>
    <rPh sb="11" eb="13">
      <t>ヒンド</t>
    </rPh>
    <rPh sb="14" eb="16">
      <t>ニュウリョク</t>
    </rPh>
    <phoneticPr fontId="6"/>
  </si>
  <si>
    <t>③</t>
    <phoneticPr fontId="6"/>
  </si>
  <si>
    <t>保険料シート</t>
    <rPh sb="0" eb="3">
      <t>ホケンリョウ</t>
    </rPh>
    <phoneticPr fontId="6"/>
  </si>
  <si>
    <t>入力可</t>
    <rPh sb="0" eb="2">
      <t>ニュウリョク</t>
    </rPh>
    <rPh sb="2" eb="3">
      <t>カ</t>
    </rPh>
    <phoneticPr fontId="6"/>
  </si>
  <si>
    <t>新調達価額算定係数</t>
    <phoneticPr fontId="6"/>
  </si>
  <si>
    <t>民間保険</t>
    <rPh sb="0" eb="4">
      <t>ミンカンホケン</t>
    </rPh>
    <phoneticPr fontId="6"/>
  </si>
  <si>
    <t>民間保険</t>
    <rPh sb="0" eb="2">
      <t>ミンカン</t>
    </rPh>
    <rPh sb="2" eb="4">
      <t>ホケンリョウ</t>
    </rPh>
    <phoneticPr fontId="6"/>
  </si>
  <si>
    <t>機械保険料率、火災保険料率、地震保険料率を入力します。</t>
    <rPh sb="21" eb="23">
      <t>ニュウリョク</t>
    </rPh>
    <phoneticPr fontId="6"/>
  </si>
  <si>
    <t>初期状態では想定される数値を入力しています。</t>
    <rPh sb="0" eb="4">
      <t>ショキジョウタイ</t>
    </rPh>
    <rPh sb="6" eb="8">
      <t>ソウテイ</t>
    </rPh>
    <rPh sb="11" eb="13">
      <t>スウチ</t>
    </rPh>
    <rPh sb="14" eb="16">
      <t>ニュウリョク</t>
    </rPh>
    <phoneticPr fontId="6"/>
  </si>
  <si>
    <t>共済</t>
    <rPh sb="0" eb="2">
      <t>キョウサイ</t>
    </rPh>
    <phoneticPr fontId="6"/>
  </si>
  <si>
    <t>新調達価額算定係数</t>
    <phoneticPr fontId="6"/>
  </si>
  <si>
    <t>機会保険料率、新調達価額算定係数を入力します。</t>
    <rPh sb="0" eb="6">
      <t>キカイホケンリョウリツ</t>
    </rPh>
    <rPh sb="17" eb="19">
      <t>ニュウリョク</t>
    </rPh>
    <phoneticPr fontId="6"/>
  </si>
  <si>
    <t>④</t>
    <phoneticPr fontId="6"/>
  </si>
  <si>
    <t>共済シート</t>
    <rPh sb="0" eb="2">
      <t>キョウサイ</t>
    </rPh>
    <phoneticPr fontId="6"/>
  </si>
  <si>
    <t>入力可</t>
    <rPh sb="0" eb="3">
      <t>ニュウリョクカ</t>
    </rPh>
    <phoneticPr fontId="6"/>
  </si>
  <si>
    <t>分担金割引後の基率・・・共済金の算出に使用します。分担金基準×自己負担額増額割引×縮小補填割引</t>
    <rPh sb="12" eb="14">
      <t>キョウサイ</t>
    </rPh>
    <rPh sb="14" eb="15">
      <t>キン</t>
    </rPh>
    <rPh sb="16" eb="18">
      <t>サンシュツ</t>
    </rPh>
    <rPh sb="19" eb="21">
      <t>シヨウ</t>
    </rPh>
    <rPh sb="25" eb="30">
      <t>ブンタンキンキジュン</t>
    </rPh>
    <rPh sb="31" eb="36">
      <t>ジコフタンガク</t>
    </rPh>
    <rPh sb="36" eb="38">
      <t>ゾウガク</t>
    </rPh>
    <rPh sb="38" eb="40">
      <t>ワリビキ</t>
    </rPh>
    <rPh sb="41" eb="43">
      <t>シュクショウ</t>
    </rPh>
    <rPh sb="43" eb="45">
      <t>ホテン</t>
    </rPh>
    <rPh sb="45" eb="47">
      <t>ワリビキ</t>
    </rPh>
    <phoneticPr fontId="6"/>
  </si>
  <si>
    <t>分担金基率、自己負担額増額割引、縮小補填割引を入力します。</t>
    <rPh sb="23" eb="25">
      <t>ニュウリョク</t>
    </rPh>
    <phoneticPr fontId="6"/>
  </si>
  <si>
    <t>これらを掛け合わせて分担金割引後の基率を算出し、保険料シートの共済金の算出に使用します。</t>
    <rPh sb="4" eb="5">
      <t>カ</t>
    </rPh>
    <rPh sb="6" eb="7">
      <t>ア</t>
    </rPh>
    <rPh sb="20" eb="22">
      <t>サンシュツ</t>
    </rPh>
    <rPh sb="24" eb="27">
      <t>ホケンリョウ</t>
    </rPh>
    <rPh sb="31" eb="34">
      <t>キョウサイキン</t>
    </rPh>
    <rPh sb="35" eb="37">
      <t>サンシュツ</t>
    </rPh>
    <rPh sb="38" eb="40">
      <t>シヨウ</t>
    </rPh>
    <phoneticPr fontId="6"/>
  </si>
  <si>
    <t>⑤</t>
    <phoneticPr fontId="6"/>
  </si>
  <si>
    <t>設備耐用年数</t>
    <rPh sb="0" eb="6">
      <t>セツビタイヨウネンスウ</t>
    </rPh>
    <phoneticPr fontId="6"/>
  </si>
  <si>
    <t>水力発電所に関係する資産の法定耐用年数と償却率の一覧です。</t>
    <rPh sb="0" eb="5">
      <t>スイリョクハツデンショ</t>
    </rPh>
    <rPh sb="6" eb="8">
      <t>カンケイ</t>
    </rPh>
    <rPh sb="10" eb="12">
      <t>シサン</t>
    </rPh>
    <rPh sb="13" eb="19">
      <t>ホウテイタイヨウネンスウ</t>
    </rPh>
    <rPh sb="20" eb="23">
      <t>ショウキャクリツ</t>
    </rPh>
    <rPh sb="24" eb="26">
      <t>イチラン</t>
    </rPh>
    <phoneticPr fontId="6"/>
  </si>
  <si>
    <t>2012年3月末現在の数値を入力しています。法改正がありましたら適宜変更をする必要があります。</t>
    <rPh sb="4" eb="5">
      <t>ネン</t>
    </rPh>
    <rPh sb="6" eb="8">
      <t>ガツマツ</t>
    </rPh>
    <rPh sb="8" eb="10">
      <t>ゲンザイ</t>
    </rPh>
    <rPh sb="11" eb="13">
      <t>スウチ</t>
    </rPh>
    <rPh sb="14" eb="16">
      <t>ニュウリョク</t>
    </rPh>
    <rPh sb="22" eb="25">
      <t>ホウカイセイ</t>
    </rPh>
    <rPh sb="32" eb="34">
      <t>テキギ</t>
    </rPh>
    <rPh sb="34" eb="36">
      <t>ヘンコウ</t>
    </rPh>
    <rPh sb="39" eb="41">
      <t>ヒツヨウ</t>
    </rPh>
    <phoneticPr fontId="6"/>
  </si>
  <si>
    <t>保険料の試算をし、PL等に反映します。当試算では水車発電機と建屋を保険、共済の対象としております。</t>
    <rPh sb="0" eb="3">
      <t>ホケンリョウ</t>
    </rPh>
    <rPh sb="4" eb="6">
      <t>シサン</t>
    </rPh>
    <rPh sb="11" eb="12">
      <t>トウ</t>
    </rPh>
    <rPh sb="13" eb="15">
      <t>ハンエイ</t>
    </rPh>
    <rPh sb="19" eb="22">
      <t>トウシサン</t>
    </rPh>
    <rPh sb="24" eb="26">
      <t>スイシャハツ</t>
    </rPh>
    <rPh sb="26" eb="29">
      <t>ハツデンキ</t>
    </rPh>
    <rPh sb="30" eb="32">
      <t>タテヤ</t>
    </rPh>
    <rPh sb="33" eb="35">
      <t>ホケン</t>
    </rPh>
    <rPh sb="36" eb="38">
      <t>キョウサイ</t>
    </rPh>
    <rPh sb="39" eb="41">
      <t>タイショウ</t>
    </rPh>
    <phoneticPr fontId="6"/>
  </si>
  <si>
    <t>パラメーターシートに発電所の条件（出力や有効落差、使用水量など）や</t>
    <phoneticPr fontId="6"/>
  </si>
  <si>
    <t>クロスフロー</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</si>
</sst>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5" formatCode="&quot;¥&quot;#,##0;&quot;¥&quot;\-#,##0"/>
    <numFmt numFmtId="6" formatCode="&quot;¥&quot;#,##0;[Red]&quot;¥&quot;\-#,##0"/>
    <numFmt numFmtId="176" formatCode="&quot;¥&quot;#,##0_);[Red]\(&quot;¥&quot;#,##0\)"/>
    <numFmt numFmtId="177" formatCode="&quot;¥&quot;#,##0_);\(&quot;¥&quot;#,##0\)"/>
    <numFmt numFmtId="178" formatCode="0.0%"/>
    <numFmt numFmtId="179" formatCode="##&quot;kW&quot;"/>
    <numFmt numFmtId="180" formatCode="##&quot;件&quot;"/>
    <numFmt numFmtId="181" formatCode="&quot;¥&quot;#,##0.0;[Red]&quot;¥&quot;#,##0.0"/>
    <numFmt numFmtId="182" formatCode="#,##0_);[Red]\(#,##0\)"/>
    <numFmt numFmtId="183" formatCode="##&quot;kWh&quot;"/>
    <numFmt numFmtId="184" formatCode="0_);[Red]\(0\)"/>
    <numFmt numFmtId="185" formatCode="&quot;¥&quot;#,##0;[Red]&quot;¥&quot;#,##0"/>
    <numFmt numFmtId="186" formatCode="#,##0_ "/>
    <numFmt numFmtId="187" formatCode="#,##0.000;[Red]\-#,##0.000"/>
    <numFmt numFmtId="188" formatCode="0.000%"/>
    <numFmt numFmtId="189" formatCode="#,##0.000_ "/>
    <numFmt numFmtId="190" formatCode="#,##0_);\(#,##0\)"/>
    <numFmt numFmtId="191" formatCode="#,##0.00_ "/>
    <numFmt numFmtId="192" formatCode="0_ "/>
    <numFmt numFmtId="193" formatCode="0.00_);[Red]\(0.00\)"/>
    <numFmt numFmtId="194" formatCode="0.00_ "/>
    <numFmt numFmtId="195" formatCode="#,##0.00_);[Red]\(#,##0.00\)"/>
    <numFmt numFmtId="196" formatCode="#,##0_ ;[Red]\-#,##0\ "/>
  </numFmts>
  <fonts count="73" x14ac:knownFonts="1">
    <font>
      <sz val="9"/>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1"/>
      <name val="Tahoma"/>
      <family val="2"/>
    </font>
    <font>
      <b/>
      <sz val="11"/>
      <name val="Tahoma"/>
      <family val="2"/>
    </font>
    <font>
      <sz val="14"/>
      <name val="Tahoma"/>
      <family val="2"/>
    </font>
    <font>
      <b/>
      <sz val="11"/>
      <name val="ＭＳ Ｐゴシック"/>
      <family val="3"/>
      <charset val="128"/>
    </font>
    <font>
      <sz val="6"/>
      <name val="ＭＳ Ｐ明朝"/>
      <family val="1"/>
      <charset val="128"/>
    </font>
    <font>
      <sz val="16"/>
      <name val="ＭＳ Ｐゴシック"/>
      <family val="3"/>
      <charset val="128"/>
    </font>
    <font>
      <b/>
      <sz val="12"/>
      <name val="ＭＳ Ｐゴシック"/>
      <family val="3"/>
      <charset val="128"/>
    </font>
    <font>
      <b/>
      <sz val="16"/>
      <color indexed="9"/>
      <name val="ＭＳ Ｐゴシック"/>
      <family val="3"/>
      <charset val="128"/>
    </font>
    <font>
      <sz val="9"/>
      <name val="Tahoma"/>
      <family val="2"/>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2"/>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メイリオ"/>
      <family val="3"/>
      <charset val="128"/>
    </font>
    <font>
      <sz val="9"/>
      <color indexed="9"/>
      <name val="Tahoma"/>
      <family val="2"/>
    </font>
    <font>
      <sz val="11"/>
      <name val="Arial"/>
      <family val="2"/>
    </font>
    <font>
      <sz val="11"/>
      <color indexed="10"/>
      <name val="Tahoma"/>
      <family val="2"/>
    </font>
    <font>
      <sz val="11"/>
      <color indexed="10"/>
      <name val="Osaka"/>
      <family val="3"/>
      <charset val="128"/>
    </font>
    <font>
      <sz val="9"/>
      <color indexed="10"/>
      <name val="ＭＳ Ｐゴシック"/>
      <family val="3"/>
      <charset val="128"/>
    </font>
    <font>
      <b/>
      <sz val="11"/>
      <color indexed="10"/>
      <name val="ＭＳ Ｐゴシック"/>
      <family val="3"/>
      <charset val="128"/>
    </font>
    <font>
      <sz val="11"/>
      <name val="Osaka"/>
      <family val="3"/>
      <charset val="128"/>
    </font>
    <font>
      <sz val="9"/>
      <color indexed="10"/>
      <name val="Osaka"/>
      <family val="3"/>
      <charset val="128"/>
    </font>
    <font>
      <sz val="10"/>
      <name val="ＭＳ Ｐゴシック"/>
      <family val="3"/>
      <charset val="128"/>
    </font>
    <font>
      <b/>
      <sz val="10"/>
      <color indexed="10"/>
      <name val="Osaka"/>
      <charset val="128"/>
    </font>
    <font>
      <sz val="11"/>
      <color indexed="8"/>
      <name val="Tahoma"/>
      <family val="2"/>
    </font>
    <font>
      <sz val="9"/>
      <color indexed="8"/>
      <name val="ＭＳ Ｐゴシック"/>
      <family val="3"/>
      <charset val="128"/>
    </font>
    <font>
      <sz val="11"/>
      <color indexed="12"/>
      <name val="ＭＳ Ｐゴシック"/>
      <family val="3"/>
      <charset val="128"/>
    </font>
    <font>
      <sz val="9"/>
      <color indexed="12"/>
      <name val="ＭＳ Ｐゴシック"/>
      <family val="3"/>
      <charset val="128"/>
    </font>
    <font>
      <sz val="11"/>
      <color indexed="9"/>
      <name val="Tahoma"/>
      <family val="2"/>
    </font>
    <font>
      <sz val="18"/>
      <name val="ＭＳ Ｐゴシック"/>
      <family val="3"/>
      <charset val="128"/>
    </font>
    <font>
      <sz val="22"/>
      <name val="ＭＳ Ｐゴシック"/>
      <family val="3"/>
      <charset val="128"/>
    </font>
    <font>
      <u/>
      <sz val="9"/>
      <color theme="10"/>
      <name val="ＭＳ Ｐゴシック"/>
      <family val="3"/>
      <charset val="128"/>
    </font>
    <font>
      <u/>
      <sz val="9"/>
      <color theme="11"/>
      <name val="ＭＳ Ｐゴシック"/>
      <family val="3"/>
      <charset val="128"/>
    </font>
    <font>
      <sz val="12"/>
      <color theme="1"/>
      <name val="ＭＳ Ｐゴシック"/>
      <family val="2"/>
      <charset val="128"/>
      <scheme val="minor"/>
    </font>
    <font>
      <sz val="6"/>
      <name val="ＭＳ Ｐゴシック"/>
      <family val="2"/>
      <charset val="128"/>
      <scheme val="minor"/>
    </font>
    <font>
      <b/>
      <sz val="14"/>
      <color rgb="FF000000"/>
      <name val="ＭＳ Ｐゴシック"/>
      <charset val="128"/>
      <scheme val="minor"/>
    </font>
    <font>
      <b/>
      <sz val="14"/>
      <color indexed="8"/>
      <name val="ＭＳ Ｐゴシック"/>
      <charset val="128"/>
      <scheme val="minor"/>
    </font>
    <font>
      <b/>
      <sz val="12"/>
      <color rgb="FF000000"/>
      <name val="ＭＳ Ｐゴシック"/>
      <charset val="128"/>
      <scheme val="minor"/>
    </font>
    <font>
      <sz val="11"/>
      <color theme="1"/>
      <name val="ＭＳ Ｐゴシック"/>
      <charset val="128"/>
    </font>
    <font>
      <vertAlign val="superscript"/>
      <sz val="11"/>
      <name val="ＭＳ Ｐゴシック"/>
      <charset val="128"/>
    </font>
    <font>
      <i/>
      <sz val="11"/>
      <name val="Osaka"/>
      <charset val="128"/>
    </font>
    <font>
      <sz val="11"/>
      <name val="ＭＳ Ｐゴシック (本文)"/>
      <charset val="128"/>
    </font>
    <font>
      <sz val="10"/>
      <color theme="1"/>
      <name val="ＭＳ Ｐゴシック"/>
      <family val="2"/>
      <charset val="128"/>
      <scheme val="minor"/>
    </font>
    <font>
      <sz val="10"/>
      <color rgb="FF000000"/>
      <name val="Hiragino Kaku Gothic Pro"/>
      <family val="2"/>
      <charset val="128"/>
    </font>
    <font>
      <u/>
      <sz val="10"/>
      <color theme="10"/>
      <name val="ＭＳ Ｐゴシック"/>
      <family val="3"/>
      <charset val="128"/>
    </font>
    <font>
      <sz val="10"/>
      <color theme="1"/>
      <name val="ＭＳ Ｐゴシック (本文)"/>
      <charset val="128"/>
    </font>
    <font>
      <sz val="9"/>
      <name val="ＭＳ Ｐゴシック (本文)"/>
      <charset val="128"/>
    </font>
    <font>
      <b/>
      <sz val="14"/>
      <name val="ＭＳ Ｐゴシック"/>
      <charset val="128"/>
    </font>
    <font>
      <sz val="11"/>
      <color theme="0"/>
      <name val="ＭＳ Ｐゴシック"/>
      <charset val="128"/>
    </font>
    <font>
      <b/>
      <sz val="11"/>
      <color rgb="FFFF0000"/>
      <name val="ＭＳ Ｐゴシック"/>
      <charset val="128"/>
    </font>
    <font>
      <sz val="12"/>
      <name val="ＭＳ Ｐゴシック"/>
      <charset val="128"/>
    </font>
  </fonts>
  <fills count="3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99"/>
        <bgColor indexed="64"/>
      </patternFill>
    </fill>
    <fill>
      <patternFill patternType="solid">
        <fgColor theme="9"/>
        <bgColor indexed="64"/>
      </patternFill>
    </fill>
  </fills>
  <borders count="70">
    <border>
      <left/>
      <right/>
      <top/>
      <bottom/>
      <diagonal/>
    </border>
    <border>
      <left/>
      <right/>
      <top style="thin">
        <color auto="1"/>
      </top>
      <bottom style="thin">
        <color auto="1"/>
      </bottom>
      <diagonal/>
    </border>
    <border>
      <left/>
      <right/>
      <top style="hair">
        <color auto="1"/>
      </top>
      <bottom/>
      <diagonal/>
    </border>
    <border>
      <left/>
      <right/>
      <top style="thin">
        <color auto="1"/>
      </top>
      <bottom/>
      <diagonal/>
    </border>
    <border>
      <left/>
      <right/>
      <top/>
      <bottom style="thin">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thick">
        <color auto="1"/>
      </bottom>
      <diagonal/>
    </border>
    <border>
      <left style="thin">
        <color auto="1"/>
      </left>
      <right/>
      <top/>
      <bottom style="thick">
        <color auto="1"/>
      </bottom>
      <diagonal/>
    </border>
    <border>
      <left/>
      <right/>
      <top/>
      <bottom style="thick">
        <color auto="1"/>
      </bottom>
      <diagonal/>
    </border>
    <border>
      <left/>
      <right/>
      <top style="thin">
        <color auto="1"/>
      </top>
      <bottom style="thick">
        <color auto="1"/>
      </bottom>
      <diagonal/>
    </border>
    <border>
      <left/>
      <right style="double">
        <color auto="1"/>
      </right>
      <top style="thin">
        <color auto="1"/>
      </top>
      <bottom style="thick">
        <color auto="1"/>
      </bottom>
      <diagonal/>
    </border>
    <border>
      <left/>
      <right style="thin">
        <color auto="1"/>
      </right>
      <top/>
      <bottom/>
      <diagonal/>
    </border>
    <border>
      <left/>
      <right style="double">
        <color auto="1"/>
      </right>
      <top/>
      <bottom/>
      <diagonal/>
    </border>
    <border>
      <left/>
      <right style="thin">
        <color auto="1"/>
      </right>
      <top/>
      <bottom style="hair">
        <color auto="1"/>
      </bottom>
      <diagonal/>
    </border>
    <border>
      <left/>
      <right style="double">
        <color auto="1"/>
      </right>
      <top/>
      <bottom style="hair">
        <color auto="1"/>
      </bottom>
      <diagonal/>
    </border>
    <border>
      <left/>
      <right style="thin">
        <color auto="1"/>
      </right>
      <top style="thin">
        <color auto="1"/>
      </top>
      <bottom style="thin">
        <color auto="1"/>
      </bottom>
      <diagonal/>
    </border>
    <border>
      <left/>
      <right/>
      <top style="medium">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diagonal/>
    </border>
    <border>
      <left/>
      <right style="thin">
        <color auto="1"/>
      </right>
      <top style="hair">
        <color auto="1"/>
      </top>
      <bottom/>
      <diagonal/>
    </border>
    <border>
      <left style="thin">
        <color auto="1"/>
      </left>
      <right/>
      <top style="hair">
        <color auto="1"/>
      </top>
      <bottom/>
      <diagonal/>
    </border>
    <border>
      <left/>
      <right style="double">
        <color auto="1"/>
      </right>
      <top style="hair">
        <color auto="1"/>
      </top>
      <bottom/>
      <diagonal/>
    </border>
    <border>
      <left style="thin">
        <color auto="1"/>
      </left>
      <right/>
      <top/>
      <bottom style="hair">
        <color auto="1"/>
      </bottom>
      <diagonal/>
    </border>
    <border>
      <left style="thin">
        <color auto="1"/>
      </left>
      <right/>
      <top style="medium">
        <color auto="1"/>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hair">
        <color auto="1"/>
      </right>
      <top style="hair">
        <color auto="1"/>
      </top>
      <bottom/>
      <diagonal/>
    </border>
    <border>
      <left style="hair">
        <color auto="1"/>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bottom style="thick">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double">
        <color auto="1"/>
      </right>
      <top style="double">
        <color auto="1"/>
      </top>
      <bottom style="thin">
        <color auto="1"/>
      </bottom>
      <diagonal/>
    </border>
    <border>
      <left style="thin">
        <color auto="1"/>
      </left>
      <right style="hair">
        <color auto="1"/>
      </right>
      <top style="thin">
        <color auto="1"/>
      </top>
      <bottom style="thin">
        <color auto="1"/>
      </bottom>
      <diagonal/>
    </border>
  </borders>
  <cellStyleXfs count="423">
    <xf numFmtId="0" fontId="0" fillId="0" borderId="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23" borderId="0" applyNumberFormat="0" applyBorder="0" applyAlignment="0" applyProtection="0">
      <alignment vertical="center"/>
    </xf>
    <xf numFmtId="0" fontId="21" fillId="0" borderId="0" applyNumberFormat="0" applyFill="0" applyBorder="0" applyAlignment="0" applyProtection="0">
      <alignment vertical="center"/>
    </xf>
    <xf numFmtId="0" fontId="22" fillId="24" borderId="25" applyNumberFormat="0" applyAlignment="0" applyProtection="0">
      <alignment vertical="center"/>
    </xf>
    <xf numFmtId="0" fontId="23" fillId="25" borderId="0" applyNumberFormat="0" applyBorder="0" applyAlignment="0" applyProtection="0">
      <alignment vertical="center"/>
    </xf>
    <xf numFmtId="9" fontId="5" fillId="0" borderId="0" applyFont="0" applyFill="0" applyBorder="0" applyAlignment="0" applyProtection="0">
      <alignment vertical="center"/>
    </xf>
    <xf numFmtId="0" fontId="19" fillId="26" borderId="26" applyNumberFormat="0" applyFont="0" applyAlignment="0" applyProtection="0">
      <alignment vertical="center"/>
    </xf>
    <xf numFmtId="0" fontId="24" fillId="0" borderId="27" applyNumberFormat="0" applyFill="0" applyAlignment="0" applyProtection="0">
      <alignment vertical="center"/>
    </xf>
    <xf numFmtId="0" fontId="25" fillId="7" borderId="0" applyNumberFormat="0" applyBorder="0" applyAlignment="0" applyProtection="0">
      <alignment vertical="center"/>
    </xf>
    <xf numFmtId="0" fontId="26" fillId="27" borderId="28" applyNumberFormat="0" applyAlignment="0" applyProtection="0">
      <alignment vertical="center"/>
    </xf>
    <xf numFmtId="0" fontId="18" fillId="0" borderId="0" applyNumberFormat="0" applyFill="0" applyBorder="0" applyAlignment="0" applyProtection="0">
      <alignment vertical="center"/>
    </xf>
    <xf numFmtId="38" fontId="5" fillId="0" borderId="0" applyFont="0" applyFill="0" applyBorder="0" applyAlignment="0" applyProtection="0">
      <alignment vertical="center"/>
    </xf>
    <xf numFmtId="38" fontId="35" fillId="0" borderId="0" applyFont="0" applyFill="0" applyBorder="0" applyAlignment="0" applyProtection="0">
      <alignment vertical="center"/>
    </xf>
    <xf numFmtId="0" fontId="27" fillId="0" borderId="29" applyNumberFormat="0" applyFill="0" applyAlignment="0" applyProtection="0">
      <alignment vertical="center"/>
    </xf>
    <xf numFmtId="0" fontId="28" fillId="0" borderId="30" applyNumberFormat="0" applyFill="0" applyAlignment="0" applyProtection="0">
      <alignment vertical="center"/>
    </xf>
    <xf numFmtId="0" fontId="29" fillId="0" borderId="31" applyNumberFormat="0" applyFill="0" applyAlignment="0" applyProtection="0">
      <alignment vertical="center"/>
    </xf>
    <xf numFmtId="0" fontId="29" fillId="0" borderId="0" applyNumberFormat="0" applyFill="0" applyBorder="0" applyAlignment="0" applyProtection="0">
      <alignment vertical="center"/>
    </xf>
    <xf numFmtId="0" fontId="30" fillId="0" borderId="32" applyNumberFormat="0" applyFill="0" applyAlignment="0" applyProtection="0">
      <alignment vertical="center"/>
    </xf>
    <xf numFmtId="0" fontId="31" fillId="27" borderId="33" applyNumberFormat="0" applyAlignment="0" applyProtection="0">
      <alignment vertical="center"/>
    </xf>
    <xf numFmtId="0" fontId="32" fillId="0" borderId="0" applyNumberFormat="0" applyFill="0" applyBorder="0" applyAlignment="0" applyProtection="0">
      <alignment vertical="center"/>
    </xf>
    <xf numFmtId="176" fontId="4" fillId="0" borderId="0" applyFont="0" applyFill="0" applyBorder="0" applyAlignment="0" applyProtection="0"/>
    <xf numFmtId="0" fontId="33" fillId="11" borderId="28" applyNumberFormat="0" applyAlignment="0" applyProtection="0">
      <alignment vertical="center"/>
    </xf>
    <xf numFmtId="0" fontId="35" fillId="0" borderId="0">
      <alignment vertical="center"/>
    </xf>
    <xf numFmtId="0" fontId="9" fillId="0" borderId="0"/>
    <xf numFmtId="0" fontId="9" fillId="0" borderId="0"/>
    <xf numFmtId="0" fontId="34" fillId="8"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 fillId="0" borderId="0"/>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xf numFmtId="9" fontId="1" fillId="0" borderId="0" applyFont="0" applyFill="0" applyBorder="0" applyAlignment="0" applyProtection="0"/>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cellStyleXfs>
  <cellXfs count="581">
    <xf numFmtId="0" fontId="0" fillId="0" borderId="0" xfId="0">
      <alignment vertical="center"/>
    </xf>
    <xf numFmtId="0" fontId="1" fillId="0" borderId="0" xfId="0" applyFont="1">
      <alignment vertical="center"/>
    </xf>
    <xf numFmtId="0" fontId="1" fillId="0" borderId="11" xfId="51" applyFont="1" applyBorder="1"/>
    <xf numFmtId="0" fontId="1" fillId="0" borderId="9" xfId="51" applyFont="1" applyBorder="1"/>
    <xf numFmtId="0" fontId="1" fillId="0" borderId="19" xfId="51" applyFont="1" applyBorder="1"/>
    <xf numFmtId="0" fontId="55" fillId="0" borderId="0" xfId="118" applyFont="1"/>
    <xf numFmtId="0" fontId="55" fillId="0" borderId="0" xfId="118" applyFont="1" applyFill="1"/>
    <xf numFmtId="0" fontId="1" fillId="0" borderId="1" xfId="51" applyFont="1" applyBorder="1"/>
    <xf numFmtId="0" fontId="1" fillId="0" borderId="23" xfId="51" applyFont="1" applyBorder="1"/>
    <xf numFmtId="0" fontId="1" fillId="0" borderId="0" xfId="51" applyFont="1" applyBorder="1"/>
    <xf numFmtId="0" fontId="1" fillId="0" borderId="0" xfId="0" applyFont="1" applyBorder="1">
      <alignment vertical="center"/>
    </xf>
    <xf numFmtId="0" fontId="1" fillId="0" borderId="0" xfId="0" applyFont="1" applyBorder="1" applyAlignment="1"/>
    <xf numFmtId="0" fontId="1" fillId="0" borderId="9" xfId="51" applyFont="1" applyBorder="1" applyAlignment="1">
      <alignment horizontal="left" indent="1"/>
    </xf>
    <xf numFmtId="0" fontId="1" fillId="0" borderId="0" xfId="51" applyFont="1" applyFill="1" applyBorder="1"/>
    <xf numFmtId="185" fontId="1" fillId="0" borderId="0" xfId="51" applyNumberFormat="1" applyFont="1" applyBorder="1"/>
    <xf numFmtId="0" fontId="1" fillId="0" borderId="0" xfId="51" applyFont="1" applyBorder="1" applyAlignment="1"/>
    <xf numFmtId="0" fontId="1" fillId="0" borderId="0" xfId="0" applyFont="1" applyBorder="1" applyAlignment="1">
      <alignment vertical="top"/>
    </xf>
    <xf numFmtId="0" fontId="55" fillId="0" borderId="35" xfId="118" applyFont="1" applyBorder="1" applyAlignment="1">
      <alignment horizontal="center"/>
    </xf>
    <xf numFmtId="0" fontId="55" fillId="0" borderId="35" xfId="118" applyFont="1" applyFill="1" applyBorder="1" applyAlignment="1">
      <alignment horizontal="center"/>
    </xf>
    <xf numFmtId="0" fontId="55" fillId="0" borderId="6" xfId="118" applyFont="1" applyBorder="1" applyAlignment="1">
      <alignment horizontal="center"/>
    </xf>
    <xf numFmtId="0" fontId="55" fillId="0" borderId="8" xfId="118" applyFont="1" applyBorder="1" applyAlignment="1">
      <alignment horizontal="center"/>
    </xf>
    <xf numFmtId="0" fontId="1" fillId="0" borderId="8" xfId="51" applyFont="1" applyBorder="1"/>
    <xf numFmtId="0" fontId="1" fillId="0" borderId="3" xfId="51" applyFont="1" applyBorder="1"/>
    <xf numFmtId="0" fontId="1" fillId="0" borderId="10" xfId="51" applyFont="1" applyBorder="1"/>
    <xf numFmtId="0" fontId="1" fillId="0" borderId="9" xfId="0" applyFont="1" applyBorder="1">
      <alignment vertical="center"/>
    </xf>
    <xf numFmtId="0" fontId="1" fillId="0" borderId="19" xfId="0" applyFont="1" applyBorder="1">
      <alignment vertical="center"/>
    </xf>
    <xf numFmtId="0" fontId="1" fillId="0" borderId="19" xfId="0" applyFont="1" applyFill="1" applyBorder="1">
      <alignment vertical="center"/>
    </xf>
    <xf numFmtId="0" fontId="1" fillId="0" borderId="19" xfId="51" applyFont="1" applyFill="1" applyBorder="1"/>
    <xf numFmtId="186" fontId="1" fillId="0" borderId="19" xfId="0" applyNumberFormat="1" applyFont="1" applyBorder="1">
      <alignment vertical="center"/>
    </xf>
    <xf numFmtId="0" fontId="1" fillId="0" borderId="9" xfId="0" quotePrefix="1" applyFont="1" applyBorder="1">
      <alignment vertical="center"/>
    </xf>
    <xf numFmtId="0" fontId="1" fillId="0" borderId="37" xfId="0" quotePrefix="1" applyFont="1" applyBorder="1">
      <alignment vertical="center"/>
    </xf>
    <xf numFmtId="0" fontId="1" fillId="0" borderId="38" xfId="0" applyFont="1" applyBorder="1">
      <alignment vertical="center"/>
    </xf>
    <xf numFmtId="0" fontId="1" fillId="0" borderId="39" xfId="0" applyFont="1" applyBorder="1">
      <alignment vertical="center"/>
    </xf>
    <xf numFmtId="0" fontId="1" fillId="0" borderId="11" xfId="0" applyFont="1" applyFill="1" applyBorder="1">
      <alignment vertical="center"/>
    </xf>
    <xf numFmtId="0" fontId="1" fillId="0" borderId="1" xfId="0" applyFont="1" applyBorder="1">
      <alignment vertical="center"/>
    </xf>
    <xf numFmtId="186" fontId="1" fillId="0" borderId="23" xfId="0" applyNumberFormat="1" applyFont="1" applyBorder="1">
      <alignment vertical="center"/>
    </xf>
    <xf numFmtId="0" fontId="1" fillId="0" borderId="39" xfId="51" applyFont="1" applyBorder="1"/>
    <xf numFmtId="0" fontId="1" fillId="0" borderId="23" xfId="51" applyFont="1" applyFill="1" applyBorder="1"/>
    <xf numFmtId="0" fontId="1" fillId="30" borderId="0" xfId="51" applyFont="1" applyFill="1" applyBorder="1"/>
    <xf numFmtId="191" fontId="1" fillId="29" borderId="0" xfId="0" applyNumberFormat="1" applyFont="1" applyFill="1" applyBorder="1" applyProtection="1">
      <alignment vertical="center"/>
      <protection locked="0"/>
    </xf>
    <xf numFmtId="191" fontId="1" fillId="29" borderId="0" xfId="0" applyNumberFormat="1" applyFont="1" applyFill="1" applyBorder="1" applyAlignment="1" applyProtection="1">
      <alignment vertical="center"/>
      <protection locked="0"/>
    </xf>
    <xf numFmtId="192" fontId="1" fillId="29" borderId="0" xfId="0" applyNumberFormat="1" applyFont="1" applyFill="1" applyBorder="1" applyProtection="1">
      <alignment vertical="center"/>
      <protection locked="0"/>
    </xf>
    <xf numFmtId="186" fontId="1" fillId="29" borderId="0" xfId="0" applyNumberFormat="1" applyFont="1" applyFill="1" applyBorder="1" applyProtection="1">
      <alignment vertical="center"/>
      <protection locked="0"/>
    </xf>
    <xf numFmtId="186" fontId="1" fillId="0" borderId="1" xfId="51" applyNumberFormat="1" applyFont="1" applyFill="1" applyBorder="1" applyProtection="1">
      <protection locked="0"/>
    </xf>
    <xf numFmtId="10" fontId="1" fillId="29" borderId="3" xfId="51" applyNumberFormat="1" applyFont="1" applyFill="1" applyBorder="1" applyProtection="1">
      <protection locked="0"/>
    </xf>
    <xf numFmtId="178" fontId="1" fillId="29" borderId="0" xfId="51" applyNumberFormat="1" applyFont="1" applyFill="1" applyBorder="1" applyProtection="1">
      <protection locked="0"/>
    </xf>
    <xf numFmtId="10" fontId="1" fillId="29" borderId="0" xfId="51" applyNumberFormat="1" applyFont="1" applyFill="1" applyBorder="1" applyProtection="1">
      <protection locked="0"/>
    </xf>
    <xf numFmtId="0" fontId="1" fillId="0" borderId="0" xfId="51" applyFont="1" applyBorder="1" applyAlignment="1" applyProtection="1">
      <protection hidden="1"/>
    </xf>
    <xf numFmtId="0" fontId="1" fillId="0" borderId="0" xfId="0" applyFont="1" applyBorder="1" applyAlignment="1" applyProtection="1">
      <alignment vertical="center"/>
      <protection hidden="1"/>
    </xf>
    <xf numFmtId="0" fontId="1" fillId="0" borderId="0" xfId="0" applyFont="1" applyFill="1" applyBorder="1" applyAlignment="1" applyProtection="1">
      <alignment vertical="center"/>
      <protection hidden="1"/>
    </xf>
    <xf numFmtId="0" fontId="60" fillId="0" borderId="0" xfId="0" applyFont="1" applyBorder="1" applyAlignment="1" applyProtection="1">
      <protection hidden="1"/>
    </xf>
    <xf numFmtId="0" fontId="60" fillId="0" borderId="0" xfId="0" applyFont="1" applyBorder="1" applyAlignment="1" applyProtection="1">
      <alignment vertical="center"/>
      <protection hidden="1"/>
    </xf>
    <xf numFmtId="182" fontId="60" fillId="0" borderId="0" xfId="0" applyNumberFormat="1" applyFont="1" applyBorder="1" applyAlignment="1" applyProtection="1">
      <alignment vertical="center"/>
      <protection hidden="1"/>
    </xf>
    <xf numFmtId="0" fontId="1" fillId="0" borderId="0" xfId="51" applyFont="1" applyBorder="1" applyProtection="1">
      <protection hidden="1"/>
    </xf>
    <xf numFmtId="0" fontId="1" fillId="0" borderId="0" xfId="0" applyFont="1" applyBorder="1" applyProtection="1">
      <alignment vertical="center"/>
      <protection hidden="1"/>
    </xf>
    <xf numFmtId="0" fontId="55" fillId="0" borderId="11" xfId="118" applyFont="1" applyBorder="1" applyAlignment="1">
      <alignment horizontal="left" vertical="center"/>
    </xf>
    <xf numFmtId="0" fontId="55" fillId="0" borderId="11" xfId="118" applyFont="1" applyBorder="1" applyAlignment="1">
      <alignment vertical="center"/>
    </xf>
    <xf numFmtId="0" fontId="55" fillId="0" borderId="40" xfId="118" applyFont="1" applyFill="1" applyBorder="1" applyAlignment="1">
      <alignment horizontal="left" wrapText="1"/>
    </xf>
    <xf numFmtId="0" fontId="55" fillId="0" borderId="43" xfId="118" applyFont="1" applyFill="1" applyBorder="1" applyAlignment="1">
      <alignment horizontal="left" wrapText="1"/>
    </xf>
    <xf numFmtId="0" fontId="55" fillId="0" borderId="37" xfId="118" applyFont="1" applyBorder="1" applyAlignment="1">
      <alignment horizontal="left" vertical="top" wrapText="1"/>
    </xf>
    <xf numFmtId="0" fontId="55" fillId="0" borderId="11" xfId="118" applyFont="1" applyBorder="1" applyAlignment="1">
      <alignment horizontal="left" vertical="top" wrapText="1"/>
    </xf>
    <xf numFmtId="0" fontId="55" fillId="0" borderId="11" xfId="118" applyFont="1" applyBorder="1" applyAlignment="1">
      <alignment horizontal="left" wrapText="1"/>
    </xf>
    <xf numFmtId="0" fontId="55" fillId="0" borderId="8" xfId="118" applyFont="1" applyBorder="1" applyAlignment="1">
      <alignment horizontal="left" wrapText="1"/>
    </xf>
    <xf numFmtId="0" fontId="55" fillId="0" borderId="11" xfId="118" applyFont="1" applyBorder="1" applyAlignment="1">
      <alignment horizontal="left"/>
    </xf>
    <xf numFmtId="0" fontId="64" fillId="0" borderId="0" xfId="118" applyFont="1"/>
    <xf numFmtId="0" fontId="65" fillId="0" borderId="0" xfId="0" applyFont="1">
      <alignment vertical="center"/>
    </xf>
    <xf numFmtId="0" fontId="44" fillId="0" borderId="0" xfId="0" applyFont="1">
      <alignment vertical="center"/>
    </xf>
    <xf numFmtId="0" fontId="66" fillId="0" borderId="0" xfId="176" applyFont="1">
      <alignment vertical="center"/>
    </xf>
    <xf numFmtId="0" fontId="67" fillId="0" borderId="8" xfId="0" applyFont="1" applyBorder="1" applyAlignment="1"/>
    <xf numFmtId="0" fontId="67" fillId="0" borderId="9" xfId="0" applyFont="1" applyBorder="1" applyAlignment="1"/>
    <xf numFmtId="0" fontId="67" fillId="0" borderId="37" xfId="0" applyFont="1" applyBorder="1" applyAlignment="1"/>
    <xf numFmtId="0" fontId="67" fillId="0" borderId="11" xfId="0" applyFont="1" applyBorder="1" applyAlignment="1"/>
    <xf numFmtId="0" fontId="67" fillId="0" borderId="23" xfId="0" applyFont="1" applyBorder="1" applyAlignment="1"/>
    <xf numFmtId="0" fontId="67" fillId="0" borderId="6" xfId="0" applyFont="1" applyBorder="1" applyAlignment="1"/>
    <xf numFmtId="0" fontId="67" fillId="0" borderId="35" xfId="0" applyFont="1" applyBorder="1" applyAlignment="1"/>
    <xf numFmtId="0" fontId="67" fillId="0" borderId="48" xfId="0" applyFont="1" applyBorder="1" applyAlignment="1"/>
    <xf numFmtId="0" fontId="67" fillId="0" borderId="48" xfId="0" applyFont="1" applyBorder="1" applyAlignment="1">
      <alignment horizontal="left"/>
    </xf>
    <xf numFmtId="0" fontId="67" fillId="0" borderId="36" xfId="0" applyFont="1" applyBorder="1" applyAlignment="1"/>
    <xf numFmtId="0" fontId="44" fillId="0" borderId="6" xfId="0" applyFont="1" applyBorder="1" applyAlignment="1">
      <alignment horizontal="center" vertical="center" wrapText="1"/>
    </xf>
    <xf numFmtId="0" fontId="44" fillId="0" borderId="6" xfId="0" applyFont="1" applyBorder="1" applyAlignment="1">
      <alignment horizontal="center" vertical="center"/>
    </xf>
    <xf numFmtId="0" fontId="0" fillId="0" borderId="36" xfId="0" applyBorder="1" applyAlignment="1">
      <alignment horizontal="center" vertical="center"/>
    </xf>
    <xf numFmtId="0" fontId="68" fillId="0" borderId="48" xfId="0" applyFont="1" applyBorder="1" applyAlignment="1">
      <alignment horizontal="center" vertical="center"/>
    </xf>
    <xf numFmtId="0" fontId="68" fillId="0" borderId="36" xfId="0" applyFont="1" applyBorder="1" applyAlignment="1">
      <alignment horizontal="center" vertical="center"/>
    </xf>
    <xf numFmtId="0" fontId="68" fillId="0" borderId="35" xfId="0" applyFont="1" applyBorder="1" applyAlignment="1">
      <alignment horizontal="center" vertical="center"/>
    </xf>
    <xf numFmtId="0" fontId="1" fillId="0" borderId="0" xfId="0" applyFont="1" applyProtection="1">
      <alignment vertical="center"/>
      <protection hidden="1"/>
    </xf>
    <xf numFmtId="0" fontId="2" fillId="0" borderId="0" xfId="0" applyFont="1" applyProtection="1">
      <alignment vertical="center"/>
      <protection hidden="1"/>
    </xf>
    <xf numFmtId="0" fontId="14" fillId="0" borderId="0" xfId="0" applyFont="1" applyProtection="1">
      <alignment vertical="center"/>
      <protection hidden="1"/>
    </xf>
    <xf numFmtId="177" fontId="2" fillId="0" borderId="0" xfId="0" applyNumberFormat="1" applyFont="1" applyProtection="1">
      <alignment vertical="center"/>
      <protection hidden="1"/>
    </xf>
    <xf numFmtId="177" fontId="1" fillId="0" borderId="0" xfId="0" applyNumberFormat="1" applyFont="1" applyProtection="1">
      <alignment vertical="center"/>
      <protection hidden="1"/>
    </xf>
    <xf numFmtId="0" fontId="2" fillId="0" borderId="14" xfId="0" applyFont="1" applyBorder="1" applyProtection="1">
      <alignment vertical="center"/>
      <protection hidden="1"/>
    </xf>
    <xf numFmtId="0" fontId="2" fillId="0" borderId="16" xfId="0" applyFont="1" applyBorder="1" applyProtection="1">
      <alignment vertical="center"/>
      <protection hidden="1"/>
    </xf>
    <xf numFmtId="0" fontId="2" fillId="0" borderId="18" xfId="0" applyFont="1" applyFill="1" applyBorder="1" applyProtection="1">
      <alignment vertical="center"/>
      <protection hidden="1"/>
    </xf>
    <xf numFmtId="0" fontId="2" fillId="0" borderId="0" xfId="0" applyFont="1" applyBorder="1" applyProtection="1">
      <alignment vertical="center"/>
      <protection hidden="1"/>
    </xf>
    <xf numFmtId="177" fontId="2" fillId="0" borderId="0" xfId="0" applyNumberFormat="1" applyFont="1" applyFill="1" applyBorder="1" applyProtection="1">
      <alignment vertical="center"/>
      <protection hidden="1"/>
    </xf>
    <xf numFmtId="176" fontId="2" fillId="0" borderId="20" xfId="0" applyNumberFormat="1" applyFont="1" applyBorder="1" applyProtection="1">
      <alignment vertical="center"/>
      <protection hidden="1"/>
    </xf>
    <xf numFmtId="177" fontId="2" fillId="0" borderId="0" xfId="0" applyNumberFormat="1" applyFont="1" applyBorder="1" applyProtection="1">
      <alignment vertical="center"/>
      <protection hidden="1"/>
    </xf>
    <xf numFmtId="0" fontId="2" fillId="0" borderId="2" xfId="0" applyFont="1" applyBorder="1" applyProtection="1">
      <alignment vertical="center"/>
      <protection hidden="1"/>
    </xf>
    <xf numFmtId="177" fontId="2" fillId="0" borderId="2" xfId="0" applyNumberFormat="1" applyFont="1" applyBorder="1" applyProtection="1">
      <alignment vertical="center"/>
      <protection hidden="1"/>
    </xf>
    <xf numFmtId="176" fontId="2" fillId="0" borderId="51" xfId="0" applyNumberFormat="1" applyFont="1" applyBorder="1" applyProtection="1">
      <alignment vertical="center"/>
      <protection hidden="1"/>
    </xf>
    <xf numFmtId="177" fontId="2" fillId="0" borderId="5" xfId="0" applyNumberFormat="1" applyFont="1" applyBorder="1" applyProtection="1">
      <alignment vertical="center"/>
      <protection hidden="1"/>
    </xf>
    <xf numFmtId="176" fontId="2" fillId="0" borderId="22" xfId="0" applyNumberFormat="1" applyFont="1" applyBorder="1" applyProtection="1">
      <alignment vertical="center"/>
      <protection hidden="1"/>
    </xf>
    <xf numFmtId="9" fontId="37" fillId="0" borderId="0" xfId="0" applyNumberFormat="1" applyFont="1" applyProtection="1">
      <alignment vertical="center"/>
      <protection hidden="1"/>
    </xf>
    <xf numFmtId="186" fontId="2" fillId="0" borderId="0" xfId="0" applyNumberFormat="1" applyFont="1" applyProtection="1">
      <alignment vertical="center"/>
      <protection hidden="1"/>
    </xf>
    <xf numFmtId="184" fontId="2" fillId="0" borderId="0" xfId="0" applyNumberFormat="1" applyFont="1" applyProtection="1">
      <alignment vertical="center"/>
      <protection hidden="1"/>
    </xf>
    <xf numFmtId="0" fontId="1" fillId="0" borderId="12" xfId="0" applyFont="1" applyBorder="1" applyProtection="1">
      <alignment vertical="center"/>
      <protection hidden="1"/>
    </xf>
    <xf numFmtId="0" fontId="1" fillId="0" borderId="13" xfId="0" applyFont="1" applyBorder="1" applyProtection="1">
      <alignment vertical="center"/>
      <protection hidden="1"/>
    </xf>
    <xf numFmtId="190" fontId="1" fillId="0" borderId="0" xfId="0" applyNumberFormat="1" applyFont="1" applyProtection="1">
      <alignment vertical="center"/>
      <protection hidden="1"/>
    </xf>
    <xf numFmtId="0" fontId="1" fillId="0" borderId="0" xfId="0" applyFont="1" applyFill="1" applyAlignment="1" applyProtection="1">
      <alignment vertical="center"/>
      <protection hidden="1"/>
    </xf>
    <xf numFmtId="0" fontId="1" fillId="0" borderId="0" xfId="51" applyFont="1"/>
    <xf numFmtId="0" fontId="1" fillId="0" borderId="19" xfId="51" applyFont="1" applyBorder="1" applyAlignment="1">
      <alignment horizontal="left" vertical="center" wrapText="1"/>
    </xf>
    <xf numFmtId="0" fontId="1" fillId="0" borderId="39" xfId="51" applyFont="1" applyBorder="1" applyAlignment="1">
      <alignment horizontal="left" vertical="center" wrapText="1"/>
    </xf>
    <xf numFmtId="0" fontId="0" fillId="29" borderId="0" xfId="0" applyFill="1" applyProtection="1">
      <alignment vertical="center"/>
      <protection hidden="1"/>
    </xf>
    <xf numFmtId="0" fontId="0" fillId="0" borderId="0" xfId="0" applyProtection="1">
      <alignment vertical="center"/>
      <protection hidden="1"/>
    </xf>
    <xf numFmtId="0" fontId="51" fillId="0" borderId="0" xfId="0" applyFont="1" applyProtection="1">
      <alignment vertical="center"/>
      <protection hidden="1"/>
    </xf>
    <xf numFmtId="0" fontId="0" fillId="0" borderId="0" xfId="0" applyBorder="1" applyProtection="1">
      <alignment vertical="center"/>
      <protection hidden="1"/>
    </xf>
    <xf numFmtId="186" fontId="0" fillId="0" borderId="0" xfId="0" applyNumberFormat="1" applyBorder="1" applyProtection="1">
      <alignment vertical="center"/>
      <protection hidden="1"/>
    </xf>
    <xf numFmtId="189" fontId="0" fillId="0" borderId="0" xfId="0" applyNumberFormat="1" applyBorder="1" applyProtection="1">
      <alignment vertical="center"/>
      <protection hidden="1"/>
    </xf>
    <xf numFmtId="186" fontId="0" fillId="0" borderId="0" xfId="0" applyNumberFormat="1" applyProtection="1">
      <alignment vertical="center"/>
      <protection hidden="1"/>
    </xf>
    <xf numFmtId="182" fontId="0" fillId="0" borderId="0" xfId="0" applyNumberFormat="1" applyProtection="1">
      <alignment vertical="center"/>
      <protection hidden="1"/>
    </xf>
    <xf numFmtId="0" fontId="52" fillId="0" borderId="0" xfId="0" applyFont="1" applyProtection="1">
      <alignment vertical="center"/>
      <protection hidden="1"/>
    </xf>
    <xf numFmtId="0" fontId="0" fillId="0" borderId="0" xfId="0" applyFill="1" applyBorder="1" applyProtection="1">
      <alignment vertical="center"/>
      <protection hidden="1"/>
    </xf>
    <xf numFmtId="188" fontId="0" fillId="0" borderId="0" xfId="0" applyNumberFormat="1" applyFill="1" applyProtection="1">
      <alignment vertical="center"/>
      <protection hidden="1"/>
    </xf>
    <xf numFmtId="10" fontId="0" fillId="0" borderId="0" xfId="0" applyNumberFormat="1" applyFill="1" applyProtection="1">
      <alignment vertical="center"/>
      <protection hidden="1"/>
    </xf>
    <xf numFmtId="182" fontId="0" fillId="0" borderId="0" xfId="0" applyNumberFormat="1" applyFill="1" applyProtection="1">
      <alignment vertical="center"/>
      <protection hidden="1"/>
    </xf>
    <xf numFmtId="0" fontId="0" fillId="0" borderId="0" xfId="0" applyFill="1" applyProtection="1">
      <alignment vertical="center"/>
      <protection hidden="1"/>
    </xf>
    <xf numFmtId="186" fontId="0" fillId="0" borderId="0" xfId="0" applyNumberFormat="1" applyFill="1" applyBorder="1" applyProtection="1">
      <alignment vertical="center"/>
      <protection hidden="1"/>
    </xf>
    <xf numFmtId="188" fontId="0" fillId="0" borderId="0" xfId="0" applyNumberFormat="1" applyProtection="1">
      <alignment vertical="center"/>
      <protection hidden="1"/>
    </xf>
    <xf numFmtId="10" fontId="0" fillId="0" borderId="8" xfId="0" applyNumberFormat="1" applyBorder="1" applyProtection="1">
      <alignment vertical="center"/>
      <protection hidden="1"/>
    </xf>
    <xf numFmtId="182" fontId="0" fillId="0" borderId="3" xfId="0" applyNumberFormat="1" applyBorder="1" applyProtection="1">
      <alignment vertical="center"/>
      <protection hidden="1"/>
    </xf>
    <xf numFmtId="10" fontId="0" fillId="0" borderId="0" xfId="0" applyNumberFormat="1" applyProtection="1">
      <alignment vertical="center"/>
      <protection hidden="1"/>
    </xf>
    <xf numFmtId="9" fontId="0" fillId="0" borderId="0" xfId="0" applyNumberFormat="1" applyProtection="1">
      <alignment vertical="center"/>
      <protection hidden="1"/>
    </xf>
    <xf numFmtId="193" fontId="0" fillId="0" borderId="0" xfId="0" applyNumberFormat="1" applyBorder="1" applyProtection="1">
      <alignment vertical="center"/>
      <protection hidden="1"/>
    </xf>
    <xf numFmtId="193" fontId="0" fillId="0" borderId="0" xfId="0" applyNumberFormat="1" applyProtection="1">
      <alignment vertical="center"/>
      <protection hidden="1"/>
    </xf>
    <xf numFmtId="186" fontId="0" fillId="0" borderId="0" xfId="0" applyNumberFormat="1" applyFill="1" applyProtection="1">
      <alignment vertical="center"/>
      <protection hidden="1"/>
    </xf>
    <xf numFmtId="38" fontId="0" fillId="0" borderId="0" xfId="34" applyFont="1" applyFill="1" applyProtection="1">
      <alignment vertical="center"/>
      <protection hidden="1"/>
    </xf>
    <xf numFmtId="0" fontId="7" fillId="0" borderId="1" xfId="0" applyFont="1" applyBorder="1" applyProtection="1">
      <alignment vertical="center"/>
      <protection hidden="1"/>
    </xf>
    <xf numFmtId="0" fontId="40" fillId="0" borderId="1" xfId="0" applyFont="1" applyBorder="1" applyProtection="1">
      <alignment vertical="center"/>
      <protection hidden="1"/>
    </xf>
    <xf numFmtId="38" fontId="0" fillId="0" borderId="0" xfId="34" applyFont="1" applyBorder="1" applyProtection="1">
      <alignment vertical="center"/>
      <protection hidden="1"/>
    </xf>
    <xf numFmtId="0" fontId="9" fillId="0" borderId="0" xfId="46" applyFont="1" applyProtection="1">
      <protection hidden="1"/>
    </xf>
    <xf numFmtId="0" fontId="12" fillId="0" borderId="0" xfId="0" applyFont="1" applyBorder="1" applyProtection="1">
      <alignment vertical="center"/>
      <protection hidden="1"/>
    </xf>
    <xf numFmtId="0" fontId="41" fillId="0" borderId="0" xfId="0" applyFont="1" applyBorder="1" applyProtection="1">
      <alignment vertical="center"/>
      <protection hidden="1"/>
    </xf>
    <xf numFmtId="38" fontId="10" fillId="0" borderId="0" xfId="0" applyNumberFormat="1" applyFont="1" applyBorder="1" applyProtection="1">
      <alignment vertical="center"/>
      <protection hidden="1"/>
    </xf>
    <xf numFmtId="0" fontId="10" fillId="0" borderId="0" xfId="0" applyFont="1" applyProtection="1">
      <alignment vertical="center"/>
      <protection hidden="1"/>
    </xf>
    <xf numFmtId="0" fontId="18" fillId="0" borderId="0" xfId="0" applyFont="1" applyBorder="1" applyProtection="1">
      <alignment vertical="center"/>
      <protection hidden="1"/>
    </xf>
    <xf numFmtId="38" fontId="9" fillId="0" borderId="0" xfId="0" applyNumberFormat="1" applyFont="1" applyBorder="1" applyProtection="1">
      <alignment vertical="center"/>
      <protection hidden="1"/>
    </xf>
    <xf numFmtId="0" fontId="38" fillId="0" borderId="0" xfId="46" applyFont="1" applyProtection="1">
      <protection hidden="1"/>
    </xf>
    <xf numFmtId="0" fontId="1" fillId="0" borderId="0" xfId="0" applyFont="1" applyFill="1" applyBorder="1" applyProtection="1">
      <alignment vertical="center"/>
      <protection hidden="1"/>
    </xf>
    <xf numFmtId="38" fontId="10" fillId="0" borderId="0" xfId="34" applyFont="1" applyBorder="1" applyAlignment="1" applyProtection="1">
      <protection hidden="1"/>
    </xf>
    <xf numFmtId="38" fontId="10" fillId="0" borderId="0" xfId="34" applyNumberFormat="1" applyFont="1" applyBorder="1" applyAlignment="1" applyProtection="1">
      <protection hidden="1"/>
    </xf>
    <xf numFmtId="38" fontId="9" fillId="0" borderId="0" xfId="34" applyFont="1" applyBorder="1" applyAlignment="1" applyProtection="1">
      <protection hidden="1"/>
    </xf>
    <xf numFmtId="0" fontId="19" fillId="0" borderId="0" xfId="0" applyFont="1" applyBorder="1" applyProtection="1">
      <alignment vertical="center"/>
      <protection hidden="1"/>
    </xf>
    <xf numFmtId="38" fontId="46" fillId="0" borderId="0" xfId="0" applyNumberFormat="1" applyFont="1" applyBorder="1" applyProtection="1">
      <alignment vertical="center"/>
      <protection hidden="1"/>
    </xf>
    <xf numFmtId="0" fontId="47" fillId="0" borderId="0" xfId="0" applyFont="1" applyProtection="1">
      <alignment vertical="center"/>
      <protection hidden="1"/>
    </xf>
    <xf numFmtId="0" fontId="18" fillId="0" borderId="0" xfId="0" applyFont="1" applyProtection="1">
      <alignment vertical="center"/>
      <protection hidden="1"/>
    </xf>
    <xf numFmtId="38" fontId="9" fillId="0" borderId="0" xfId="0" applyNumberFormat="1" applyFont="1" applyProtection="1">
      <alignment vertical="center"/>
      <protection hidden="1"/>
    </xf>
    <xf numFmtId="38" fontId="9" fillId="0" borderId="1" xfId="0" applyNumberFormat="1" applyFont="1" applyBorder="1" applyProtection="1">
      <alignment vertical="center"/>
      <protection hidden="1"/>
    </xf>
    <xf numFmtId="0" fontId="9" fillId="0" borderId="1" xfId="0" applyFont="1" applyBorder="1" applyProtection="1">
      <alignment vertical="center"/>
      <protection hidden="1"/>
    </xf>
    <xf numFmtId="0" fontId="9" fillId="0" borderId="0" xfId="0" applyFont="1" applyBorder="1" applyProtection="1">
      <alignment vertical="center"/>
      <protection hidden="1"/>
    </xf>
    <xf numFmtId="0" fontId="12" fillId="0" borderId="0" xfId="0" applyFont="1" applyFill="1" applyBorder="1" applyProtection="1">
      <alignment vertical="center"/>
      <protection hidden="1"/>
    </xf>
    <xf numFmtId="0" fontId="40" fillId="0" borderId="0" xfId="0" applyFont="1" applyFill="1" applyBorder="1" applyProtection="1">
      <alignment vertical="center"/>
      <protection hidden="1"/>
    </xf>
    <xf numFmtId="0" fontId="9" fillId="0" borderId="0" xfId="0" applyFont="1" applyFill="1" applyBorder="1" applyProtection="1">
      <alignment vertical="center"/>
      <protection hidden="1"/>
    </xf>
    <xf numFmtId="38" fontId="9" fillId="0" borderId="0" xfId="0" applyNumberFormat="1" applyFont="1" applyFill="1" applyBorder="1" applyProtection="1">
      <alignment vertical="center"/>
      <protection hidden="1"/>
    </xf>
    <xf numFmtId="0" fontId="49" fillId="0" borderId="0" xfId="0" applyFont="1" applyFill="1" applyBorder="1" applyProtection="1">
      <alignment vertical="center"/>
      <protection hidden="1"/>
    </xf>
    <xf numFmtId="38" fontId="46" fillId="0" borderId="0" xfId="0" applyNumberFormat="1" applyFont="1" applyFill="1" applyBorder="1" applyProtection="1">
      <alignment vertical="center"/>
      <protection hidden="1"/>
    </xf>
    <xf numFmtId="38" fontId="10" fillId="0" borderId="0" xfId="0" applyNumberFormat="1" applyFont="1" applyFill="1" applyBorder="1" applyProtection="1">
      <alignment vertical="center"/>
      <protection hidden="1"/>
    </xf>
    <xf numFmtId="0" fontId="40" fillId="0" borderId="0" xfId="0" applyFont="1" applyProtection="1">
      <alignment vertical="center"/>
      <protection hidden="1"/>
    </xf>
    <xf numFmtId="38" fontId="10" fillId="0" borderId="0" xfId="0" applyNumberFormat="1" applyFont="1" applyProtection="1">
      <alignment vertical="center"/>
      <protection hidden="1"/>
    </xf>
    <xf numFmtId="0" fontId="12" fillId="0" borderId="0" xfId="0" applyFont="1" applyProtection="1">
      <alignment vertical="center"/>
      <protection hidden="1"/>
    </xf>
    <xf numFmtId="0" fontId="47" fillId="4" borderId="0" xfId="0" applyFont="1" applyFill="1" applyBorder="1" applyProtection="1">
      <alignment vertical="center"/>
      <protection hidden="1"/>
    </xf>
    <xf numFmtId="186" fontId="1" fillId="29" borderId="0" xfId="0" applyNumberFormat="1" applyFont="1" applyFill="1" applyBorder="1" applyAlignment="1" applyProtection="1">
      <alignment horizontal="center" vertical="center"/>
      <protection locked="0"/>
    </xf>
    <xf numFmtId="191" fontId="1" fillId="29" borderId="0" xfId="0" applyNumberFormat="1" applyFont="1" applyFill="1" applyBorder="1" applyAlignment="1" applyProtection="1">
      <alignment horizontal="center" vertical="center"/>
      <protection locked="0"/>
    </xf>
    <xf numFmtId="0" fontId="1" fillId="29" borderId="3" xfId="51" applyFont="1" applyFill="1" applyBorder="1" applyAlignment="1" applyProtection="1">
      <alignment horizontal="center"/>
      <protection locked="0"/>
    </xf>
    <xf numFmtId="194" fontId="1" fillId="0" borderId="0" xfId="0" applyNumberFormat="1" applyFont="1" applyBorder="1" applyAlignment="1" applyProtection="1">
      <alignment vertical="center"/>
      <protection hidden="1"/>
    </xf>
    <xf numFmtId="194" fontId="1" fillId="0" borderId="0" xfId="0" applyNumberFormat="1" applyFont="1" applyFill="1" applyBorder="1" applyAlignment="1" applyProtection="1">
      <alignment vertical="center"/>
      <protection hidden="1"/>
    </xf>
    <xf numFmtId="0" fontId="1" fillId="0" borderId="11" xfId="51" applyFont="1" applyBorder="1" applyAlignment="1"/>
    <xf numFmtId="0" fontId="1" fillId="0" borderId="54" xfId="51" applyFont="1" applyBorder="1"/>
    <xf numFmtId="0" fontId="1" fillId="0" borderId="55" xfId="51" applyFont="1" applyBorder="1"/>
    <xf numFmtId="0" fontId="1" fillId="0" borderId="56" xfId="51" applyFont="1" applyBorder="1"/>
    <xf numFmtId="0" fontId="1" fillId="0" borderId="54" xfId="51" applyFont="1" applyBorder="1" applyAlignment="1">
      <alignment vertical="center" wrapText="1"/>
    </xf>
    <xf numFmtId="0" fontId="1" fillId="0" borderId="56" xfId="51" applyFont="1" applyBorder="1" applyAlignment="1">
      <alignment horizontal="left" vertical="center" wrapText="1"/>
    </xf>
    <xf numFmtId="0" fontId="1" fillId="0" borderId="55" xfId="51" applyFont="1" applyBorder="1" applyAlignment="1">
      <alignment horizontal="left" vertical="center" wrapText="1"/>
    </xf>
    <xf numFmtId="0" fontId="1" fillId="0" borderId="55" xfId="0" applyFont="1" applyBorder="1">
      <alignment vertical="center"/>
    </xf>
    <xf numFmtId="0" fontId="1" fillId="0" borderId="56" xfId="51" applyFont="1" applyFill="1" applyBorder="1"/>
    <xf numFmtId="186" fontId="1" fillId="0" borderId="55" xfId="0" applyNumberFormat="1" applyFont="1" applyBorder="1">
      <alignment vertical="center"/>
    </xf>
    <xf numFmtId="0" fontId="1" fillId="0" borderId="10" xfId="0" applyFont="1" applyBorder="1" applyAlignment="1">
      <alignment vertical="center" wrapText="1"/>
    </xf>
    <xf numFmtId="0" fontId="1" fillId="0" borderId="55" xfId="0" applyFont="1" applyBorder="1" applyAlignment="1">
      <alignment vertical="center" wrapText="1"/>
    </xf>
    <xf numFmtId="0" fontId="1" fillId="0" borderId="19" xfId="0" applyFont="1" applyBorder="1" applyAlignment="1">
      <alignment vertical="center" wrapText="1"/>
    </xf>
    <xf numFmtId="0" fontId="1" fillId="0" borderId="2" xfId="51" applyFont="1" applyBorder="1"/>
    <xf numFmtId="186" fontId="1" fillId="29" borderId="2" xfId="0" applyNumberFormat="1" applyFont="1" applyFill="1" applyBorder="1" applyAlignment="1" applyProtection="1">
      <alignment horizontal="center" vertical="center"/>
      <protection locked="0"/>
    </xf>
    <xf numFmtId="0" fontId="1" fillId="0" borderId="57" xfId="51" applyFont="1" applyBorder="1"/>
    <xf numFmtId="0" fontId="1" fillId="0" borderId="49" xfId="51" applyFont="1" applyBorder="1"/>
    <xf numFmtId="0" fontId="42" fillId="0" borderId="0" xfId="46" applyFont="1" applyProtection="1">
      <protection hidden="1"/>
    </xf>
    <xf numFmtId="0" fontId="9" fillId="0" borderId="0" xfId="46" applyProtection="1">
      <protection hidden="1"/>
    </xf>
    <xf numFmtId="0" fontId="8" fillId="0" borderId="0" xfId="46" applyFont="1" applyProtection="1">
      <protection hidden="1"/>
    </xf>
    <xf numFmtId="0" fontId="3" fillId="0" borderId="0" xfId="46" applyFont="1" applyProtection="1">
      <protection hidden="1"/>
    </xf>
    <xf numFmtId="0" fontId="18" fillId="0" borderId="0" xfId="46" applyFont="1" applyProtection="1">
      <protection hidden="1"/>
    </xf>
    <xf numFmtId="183" fontId="17" fillId="0" borderId="0" xfId="46" applyNumberFormat="1" applyFont="1" applyProtection="1">
      <protection hidden="1"/>
    </xf>
    <xf numFmtId="38" fontId="9" fillId="0" borderId="0" xfId="34" applyFont="1" applyAlignment="1" applyProtection="1">
      <protection hidden="1"/>
    </xf>
    <xf numFmtId="0" fontId="1" fillId="0" borderId="0" xfId="51" applyFont="1" applyBorder="1" applyAlignment="1">
      <alignment vertical="center" wrapText="1"/>
    </xf>
    <xf numFmtId="0" fontId="0" fillId="0" borderId="0" xfId="0" applyAlignment="1">
      <alignment vertical="center" wrapText="1"/>
    </xf>
    <xf numFmtId="0" fontId="1" fillId="0" borderId="0" xfId="51" applyFont="1" applyProtection="1">
      <protection hidden="1"/>
    </xf>
    <xf numFmtId="0" fontId="1" fillId="0" borderId="55" xfId="51" applyFont="1" applyBorder="1" applyProtection="1">
      <protection hidden="1"/>
    </xf>
    <xf numFmtId="0" fontId="1" fillId="0" borderId="19" xfId="51" applyFont="1" applyBorder="1" applyProtection="1">
      <protection hidden="1"/>
    </xf>
    <xf numFmtId="0" fontId="1" fillId="0" borderId="0" xfId="0" quotePrefix="1" applyFont="1" applyBorder="1" applyProtection="1">
      <alignment vertical="center"/>
      <protection hidden="1"/>
    </xf>
    <xf numFmtId="0" fontId="1" fillId="28" borderId="19" xfId="51" applyFont="1" applyFill="1" applyBorder="1"/>
    <xf numFmtId="0" fontId="1" fillId="0" borderId="58" xfId="51" applyFont="1" applyBorder="1"/>
    <xf numFmtId="0" fontId="1" fillId="0" borderId="56" xfId="0" applyFont="1" applyBorder="1" applyAlignment="1">
      <alignment vertical="center" wrapText="1"/>
    </xf>
    <xf numFmtId="182" fontId="1" fillId="29" borderId="0" xfId="51" applyNumberFormat="1" applyFont="1" applyFill="1" applyBorder="1" applyProtection="1">
      <protection locked="0"/>
    </xf>
    <xf numFmtId="0" fontId="14" fillId="0" borderId="0" xfId="46" applyFont="1" applyProtection="1">
      <protection hidden="1"/>
    </xf>
    <xf numFmtId="0" fontId="16" fillId="28" borderId="0" xfId="46" applyFont="1" applyFill="1" applyAlignment="1" applyProtection="1">
      <alignment horizontal="center"/>
      <protection hidden="1"/>
    </xf>
    <xf numFmtId="10" fontId="9" fillId="0" borderId="0" xfId="28" applyNumberFormat="1" applyFont="1" applyAlignment="1" applyProtection="1">
      <protection hidden="1"/>
    </xf>
    <xf numFmtId="0" fontId="8" fillId="2" borderId="1" xfId="46" applyFont="1" applyFill="1" applyBorder="1" applyProtection="1">
      <protection hidden="1"/>
    </xf>
    <xf numFmtId="0" fontId="9" fillId="2" borderId="1" xfId="46" applyFill="1" applyBorder="1" applyProtection="1">
      <protection hidden="1"/>
    </xf>
    <xf numFmtId="0" fontId="39" fillId="2" borderId="1" xfId="46" applyFont="1" applyFill="1" applyBorder="1" applyProtection="1">
      <protection hidden="1"/>
    </xf>
    <xf numFmtId="0" fontId="9" fillId="2" borderId="1" xfId="46" applyFont="1" applyFill="1" applyBorder="1" applyProtection="1">
      <protection hidden="1"/>
    </xf>
    <xf numFmtId="0" fontId="9" fillId="0" borderId="0" xfId="46" applyFill="1" applyBorder="1" applyProtection="1">
      <protection hidden="1"/>
    </xf>
    <xf numFmtId="0" fontId="8" fillId="2" borderId="3" xfId="46" applyFont="1" applyFill="1" applyBorder="1" applyProtection="1">
      <protection hidden="1"/>
    </xf>
    <xf numFmtId="0" fontId="9" fillId="2" borderId="3" xfId="46" applyFill="1" applyBorder="1" applyProtection="1">
      <protection hidden="1"/>
    </xf>
    <xf numFmtId="0" fontId="38" fillId="2" borderId="3" xfId="46" applyFont="1" applyFill="1" applyBorder="1" applyProtection="1">
      <protection hidden="1"/>
    </xf>
    <xf numFmtId="0" fontId="42" fillId="2" borderId="3" xfId="46" applyFont="1" applyFill="1" applyBorder="1" applyAlignment="1" applyProtection="1">
      <alignment horizontal="right"/>
      <protection hidden="1"/>
    </xf>
    <xf numFmtId="0" fontId="9" fillId="2" borderId="3" xfId="46" applyFont="1" applyFill="1" applyBorder="1" applyProtection="1">
      <protection hidden="1"/>
    </xf>
    <xf numFmtId="0" fontId="42" fillId="2" borderId="3" xfId="46" applyFont="1" applyFill="1" applyBorder="1" applyProtection="1">
      <protection hidden="1"/>
    </xf>
    <xf numFmtId="0" fontId="11" fillId="0" borderId="1" xfId="46" applyFont="1" applyFill="1" applyBorder="1" applyProtection="1">
      <protection hidden="1"/>
    </xf>
    <xf numFmtId="0" fontId="8" fillId="0" borderId="1" xfId="46" applyFont="1" applyFill="1" applyBorder="1" applyProtection="1">
      <protection hidden="1"/>
    </xf>
    <xf numFmtId="0" fontId="9" fillId="0" borderId="1" xfId="46" applyFill="1" applyBorder="1" applyProtection="1">
      <protection hidden="1"/>
    </xf>
    <xf numFmtId="0" fontId="38" fillId="0" borderId="1" xfId="46" applyFont="1" applyFill="1" applyBorder="1" applyProtection="1">
      <protection hidden="1"/>
    </xf>
    <xf numFmtId="0" fontId="8" fillId="0" borderId="1" xfId="46" applyFont="1" applyFill="1" applyBorder="1" applyAlignment="1" applyProtection="1">
      <alignment horizontal="right"/>
      <protection hidden="1"/>
    </xf>
    <xf numFmtId="0" fontId="9" fillId="0" borderId="1" xfId="46" applyFont="1" applyFill="1" applyBorder="1" applyProtection="1">
      <protection hidden="1"/>
    </xf>
    <xf numFmtId="0" fontId="9" fillId="0" borderId="4" xfId="46" applyFont="1" applyFill="1" applyBorder="1" applyProtection="1">
      <protection hidden="1"/>
    </xf>
    <xf numFmtId="0" fontId="8" fillId="0" borderId="0" xfId="46" applyFont="1" applyFill="1" applyBorder="1" applyProtection="1">
      <protection hidden="1"/>
    </xf>
    <xf numFmtId="181" fontId="36" fillId="0" borderId="0" xfId="46" applyNumberFormat="1" applyFont="1" applyFill="1" applyProtection="1">
      <protection hidden="1"/>
    </xf>
    <xf numFmtId="181" fontId="45" fillId="0" borderId="0" xfId="46" applyNumberFormat="1" applyFont="1" applyFill="1" applyProtection="1">
      <protection hidden="1"/>
    </xf>
    <xf numFmtId="179" fontId="17" fillId="0" borderId="0" xfId="46" applyNumberFormat="1" applyFont="1" applyProtection="1">
      <protection hidden="1"/>
    </xf>
    <xf numFmtId="38" fontId="10" fillId="0" borderId="0" xfId="46" applyNumberFormat="1" applyFont="1" applyFill="1" applyBorder="1" applyProtection="1">
      <protection hidden="1"/>
    </xf>
    <xf numFmtId="0" fontId="9" fillId="0" borderId="0" xfId="46" applyFill="1" applyProtection="1">
      <protection hidden="1"/>
    </xf>
    <xf numFmtId="0" fontId="1" fillId="0" borderId="0" xfId="46" applyFont="1" applyProtection="1">
      <protection hidden="1"/>
    </xf>
    <xf numFmtId="181" fontId="44" fillId="0" borderId="0" xfId="46" applyNumberFormat="1" applyFont="1" applyFill="1" applyProtection="1">
      <protection hidden="1"/>
    </xf>
    <xf numFmtId="181" fontId="43" fillId="0" borderId="0" xfId="46" applyNumberFormat="1" applyFont="1" applyFill="1" applyProtection="1">
      <protection hidden="1"/>
    </xf>
    <xf numFmtId="180" fontId="17" fillId="0" borderId="0" xfId="46" applyNumberFormat="1" applyFont="1" applyProtection="1">
      <protection hidden="1"/>
    </xf>
    <xf numFmtId="0" fontId="50" fillId="0" borderId="0" xfId="46" applyFont="1" applyProtection="1">
      <protection hidden="1"/>
    </xf>
    <xf numFmtId="0" fontId="50" fillId="0" borderId="0" xfId="46" applyFont="1" applyAlignment="1" applyProtection="1">
      <alignment horizontal="right"/>
      <protection hidden="1"/>
    </xf>
    <xf numFmtId="0" fontId="1" fillId="0" borderId="2" xfId="46" applyFont="1" applyBorder="1" applyProtection="1">
      <protection hidden="1"/>
    </xf>
    <xf numFmtId="0" fontId="9" fillId="0" borderId="2" xfId="46" applyBorder="1" applyProtection="1">
      <protection hidden="1"/>
    </xf>
    <xf numFmtId="0" fontId="38" fillId="0" borderId="2" xfId="46" applyFont="1" applyBorder="1" applyProtection="1">
      <protection hidden="1"/>
    </xf>
    <xf numFmtId="38" fontId="10" fillId="0" borderId="2" xfId="34" applyFont="1" applyFill="1" applyBorder="1" applyAlignment="1" applyProtection="1">
      <protection hidden="1"/>
    </xf>
    <xf numFmtId="38" fontId="10" fillId="0" borderId="2" xfId="34" applyFont="1" applyBorder="1" applyAlignment="1" applyProtection="1">
      <protection hidden="1"/>
    </xf>
    <xf numFmtId="38" fontId="9" fillId="0" borderId="0" xfId="34" applyFont="1" applyFill="1" applyAlignment="1" applyProtection="1">
      <protection hidden="1"/>
    </xf>
    <xf numFmtId="38" fontId="9" fillId="0" borderId="0" xfId="34" applyFont="1" applyFill="1" applyBorder="1" applyAlignment="1" applyProtection="1">
      <protection hidden="1"/>
    </xf>
    <xf numFmtId="0" fontId="42" fillId="0" borderId="0" xfId="46" applyFont="1" applyFill="1" applyProtection="1">
      <protection hidden="1"/>
    </xf>
    <xf numFmtId="0" fontId="8" fillId="0" borderId="0" xfId="46" applyFont="1" applyFill="1" applyProtection="1">
      <protection hidden="1"/>
    </xf>
    <xf numFmtId="38" fontId="10" fillId="0" borderId="0" xfId="34" applyFont="1" applyFill="1" applyAlignment="1" applyProtection="1">
      <protection hidden="1"/>
    </xf>
    <xf numFmtId="38" fontId="10" fillId="0" borderId="0" xfId="34" applyFont="1" applyFill="1" applyBorder="1" applyAlignment="1" applyProtection="1">
      <protection hidden="1"/>
    </xf>
    <xf numFmtId="40" fontId="9" fillId="0" borderId="0" xfId="34" applyNumberFormat="1" applyFont="1" applyFill="1" applyAlignment="1" applyProtection="1">
      <protection hidden="1"/>
    </xf>
    <xf numFmtId="187" fontId="9" fillId="0" borderId="0" xfId="34" applyNumberFormat="1" applyFont="1" applyFill="1" applyAlignment="1" applyProtection="1">
      <protection hidden="1"/>
    </xf>
    <xf numFmtId="0" fontId="9" fillId="0" borderId="0" xfId="46" applyBorder="1" applyProtection="1">
      <protection hidden="1"/>
    </xf>
    <xf numFmtId="0" fontId="39" fillId="0" borderId="0" xfId="46" applyFont="1" applyProtection="1">
      <protection hidden="1"/>
    </xf>
    <xf numFmtId="38" fontId="10" fillId="0" borderId="0" xfId="34" applyFont="1" applyAlignment="1" applyProtection="1">
      <protection hidden="1"/>
    </xf>
    <xf numFmtId="10" fontId="9" fillId="0" borderId="0" xfId="34" applyNumberFormat="1" applyFont="1" applyBorder="1" applyAlignment="1" applyProtection="1">
      <protection hidden="1"/>
    </xf>
    <xf numFmtId="0" fontId="42" fillId="0" borderId="38" xfId="46" applyFont="1" applyBorder="1" applyProtection="1">
      <protection hidden="1"/>
    </xf>
    <xf numFmtId="0" fontId="9" fillId="0" borderId="38" xfId="46" applyBorder="1" applyProtection="1">
      <protection hidden="1"/>
    </xf>
    <xf numFmtId="0" fontId="1" fillId="0" borderId="38" xfId="46" applyFont="1" applyBorder="1" applyProtection="1">
      <protection hidden="1"/>
    </xf>
    <xf numFmtId="0" fontId="8" fillId="0" borderId="38" xfId="46" applyFont="1" applyBorder="1" applyProtection="1">
      <protection hidden="1"/>
    </xf>
    <xf numFmtId="0" fontId="38" fillId="0" borderId="38" xfId="46" applyFont="1" applyBorder="1" applyProtection="1">
      <protection hidden="1"/>
    </xf>
    <xf numFmtId="38" fontId="10" fillId="0" borderId="38" xfId="34" applyFont="1" applyBorder="1" applyAlignment="1" applyProtection="1">
      <protection hidden="1"/>
    </xf>
    <xf numFmtId="0" fontId="0" fillId="0" borderId="1" xfId="0" applyBorder="1" applyProtection="1">
      <alignment vertical="center"/>
      <protection hidden="1"/>
    </xf>
    <xf numFmtId="0" fontId="5" fillId="4" borderId="0" xfId="0" applyFont="1" applyFill="1" applyBorder="1" applyProtection="1">
      <alignment vertical="center"/>
      <protection hidden="1"/>
    </xf>
    <xf numFmtId="0" fontId="0" fillId="0" borderId="38" xfId="0" applyBorder="1" applyProtection="1">
      <alignment vertical="center"/>
      <protection hidden="1"/>
    </xf>
    <xf numFmtId="0" fontId="1" fillId="0" borderId="38" xfId="0" applyFont="1" applyBorder="1" applyProtection="1">
      <alignment vertical="center"/>
      <protection hidden="1"/>
    </xf>
    <xf numFmtId="0" fontId="40" fillId="0" borderId="38" xfId="0" applyFont="1" applyBorder="1" applyProtection="1">
      <alignment vertical="center"/>
      <protection hidden="1"/>
    </xf>
    <xf numFmtId="38" fontId="9" fillId="0" borderId="38" xfId="0" applyNumberFormat="1" applyFont="1" applyBorder="1" applyProtection="1">
      <alignment vertical="center"/>
      <protection hidden="1"/>
    </xf>
    <xf numFmtId="0" fontId="14" fillId="0" borderId="0" xfId="47" applyFont="1" applyProtection="1">
      <protection hidden="1"/>
    </xf>
    <xf numFmtId="0" fontId="1" fillId="0" borderId="0" xfId="47" applyFont="1" applyProtection="1">
      <protection hidden="1"/>
    </xf>
    <xf numFmtId="14" fontId="1" fillId="0" borderId="0" xfId="47" applyNumberFormat="1" applyFont="1" applyProtection="1">
      <protection hidden="1"/>
    </xf>
    <xf numFmtId="0" fontId="1" fillId="0" borderId="0" xfId="47" applyFont="1" applyAlignment="1" applyProtection="1">
      <alignment horizontal="left"/>
      <protection hidden="1"/>
    </xf>
    <xf numFmtId="38" fontId="1" fillId="0" borderId="0" xfId="47" applyNumberFormat="1" applyFont="1" applyBorder="1" applyProtection="1">
      <protection hidden="1"/>
    </xf>
    <xf numFmtId="0" fontId="1" fillId="2" borderId="1" xfId="47" applyFont="1" applyFill="1" applyBorder="1" applyProtection="1">
      <protection hidden="1"/>
    </xf>
    <xf numFmtId="0" fontId="1" fillId="2" borderId="1" xfId="47" applyFont="1" applyFill="1" applyBorder="1" applyAlignment="1" applyProtection="1">
      <alignment horizontal="right"/>
      <protection hidden="1"/>
    </xf>
    <xf numFmtId="0" fontId="1" fillId="0" borderId="0" xfId="47" applyFont="1" applyBorder="1" applyProtection="1">
      <protection hidden="1"/>
    </xf>
    <xf numFmtId="0" fontId="1" fillId="2" borderId="0" xfId="47" applyFont="1" applyFill="1" applyBorder="1" applyProtection="1">
      <protection hidden="1"/>
    </xf>
    <xf numFmtId="0" fontId="1" fillId="2" borderId="0" xfId="47" applyFont="1" applyFill="1" applyBorder="1" applyAlignment="1" applyProtection="1">
      <alignment horizontal="right"/>
      <protection hidden="1"/>
    </xf>
    <xf numFmtId="0" fontId="7" fillId="0" borderId="24" xfId="47" applyFont="1" applyFill="1" applyBorder="1" applyProtection="1">
      <protection hidden="1"/>
    </xf>
    <xf numFmtId="0" fontId="1" fillId="0" borderId="24" xfId="47" applyFont="1" applyFill="1" applyBorder="1" applyProtection="1">
      <protection hidden="1"/>
    </xf>
    <xf numFmtId="186" fontId="1" fillId="0" borderId="24" xfId="47" applyNumberFormat="1" applyFont="1" applyFill="1" applyBorder="1" applyProtection="1">
      <protection hidden="1"/>
    </xf>
    <xf numFmtId="0" fontId="1" fillId="0" borderId="24" xfId="47" applyFont="1" applyFill="1" applyBorder="1" applyAlignment="1" applyProtection="1">
      <alignment horizontal="right"/>
      <protection hidden="1"/>
    </xf>
    <xf numFmtId="10" fontId="1" fillId="0" borderId="0" xfId="47" applyNumberFormat="1" applyFont="1" applyBorder="1" applyAlignment="1" applyProtection="1">
      <alignment horizontal="left"/>
      <protection hidden="1"/>
    </xf>
    <xf numFmtId="178" fontId="1" fillId="0" borderId="0" xfId="47" applyNumberFormat="1" applyFont="1" applyBorder="1" applyProtection="1">
      <protection hidden="1"/>
    </xf>
    <xf numFmtId="38" fontId="1" fillId="0" borderId="0" xfId="47" applyNumberFormat="1" applyFont="1" applyBorder="1" applyAlignment="1" applyProtection="1">
      <alignment horizontal="center"/>
      <protection hidden="1"/>
    </xf>
    <xf numFmtId="38" fontId="1" fillId="0" borderId="0" xfId="47" applyNumberFormat="1" applyFont="1" applyBorder="1" applyAlignment="1" applyProtection="1">
      <alignment horizontal="right"/>
      <protection hidden="1"/>
    </xf>
    <xf numFmtId="38" fontId="1" fillId="0" borderId="0" xfId="47" applyNumberFormat="1" applyFont="1" applyProtection="1">
      <protection hidden="1"/>
    </xf>
    <xf numFmtId="0" fontId="1" fillId="0" borderId="0" xfId="47" applyNumberFormat="1" applyFont="1" applyAlignment="1" applyProtection="1">
      <alignment horizontal="right"/>
      <protection hidden="1"/>
    </xf>
    <xf numFmtId="38" fontId="1" fillId="0" borderId="0" xfId="47" applyNumberFormat="1" applyFont="1" applyAlignment="1" applyProtection="1">
      <alignment horizontal="right"/>
      <protection hidden="1"/>
    </xf>
    <xf numFmtId="40" fontId="1" fillId="0" borderId="0" xfId="47" applyNumberFormat="1" applyFont="1" applyBorder="1" applyProtection="1">
      <protection hidden="1"/>
    </xf>
    <xf numFmtId="10" fontId="1" fillId="0" borderId="0" xfId="47" applyNumberFormat="1" applyFont="1" applyBorder="1" applyProtection="1">
      <protection hidden="1"/>
    </xf>
    <xf numFmtId="38" fontId="1" fillId="0" borderId="0" xfId="47" applyNumberFormat="1" applyFont="1" applyBorder="1" applyAlignment="1" applyProtection="1">
      <alignment horizontal="left"/>
      <protection hidden="1"/>
    </xf>
    <xf numFmtId="38" fontId="1" fillId="0" borderId="1" xfId="47" applyNumberFormat="1" applyFont="1" applyBorder="1" applyProtection="1">
      <protection hidden="1"/>
    </xf>
    <xf numFmtId="0" fontId="1" fillId="0" borderId="1" xfId="47" applyFont="1" applyBorder="1" applyProtection="1">
      <protection hidden="1"/>
    </xf>
    <xf numFmtId="38" fontId="1" fillId="0" borderId="1" xfId="47" applyNumberFormat="1" applyFont="1" applyBorder="1" applyAlignment="1" applyProtection="1">
      <alignment horizontal="right"/>
      <protection hidden="1"/>
    </xf>
    <xf numFmtId="0" fontId="1" fillId="0" borderId="3" xfId="47" applyFont="1" applyBorder="1" applyProtection="1">
      <protection hidden="1"/>
    </xf>
    <xf numFmtId="10" fontId="1" fillId="0" borderId="3" xfId="47" applyNumberFormat="1" applyFont="1" applyBorder="1" applyAlignment="1" applyProtection="1">
      <alignment horizontal="left"/>
      <protection hidden="1"/>
    </xf>
    <xf numFmtId="178" fontId="1" fillId="0" borderId="3" xfId="47" applyNumberFormat="1" applyFont="1" applyBorder="1" applyProtection="1">
      <protection hidden="1"/>
    </xf>
    <xf numFmtId="38" fontId="1" fillId="0" borderId="3" xfId="47" applyNumberFormat="1" applyFont="1" applyBorder="1" applyAlignment="1" applyProtection="1">
      <alignment horizontal="right"/>
      <protection hidden="1"/>
    </xf>
    <xf numFmtId="38" fontId="1" fillId="0" borderId="3" xfId="47" applyNumberFormat="1" applyFont="1" applyBorder="1" applyProtection="1">
      <protection hidden="1"/>
    </xf>
    <xf numFmtId="182" fontId="1" fillId="0" borderId="0" xfId="47" applyNumberFormat="1" applyFont="1" applyProtection="1">
      <protection hidden="1"/>
    </xf>
    <xf numFmtId="182" fontId="1" fillId="0" borderId="0" xfId="47" applyNumberFormat="1" applyFont="1" applyAlignment="1" applyProtection="1">
      <alignment horizontal="right"/>
      <protection hidden="1"/>
    </xf>
    <xf numFmtId="6" fontId="1" fillId="0" borderId="0" xfId="47" applyNumberFormat="1" applyFont="1" applyAlignment="1" applyProtection="1">
      <alignment horizontal="right"/>
      <protection hidden="1"/>
    </xf>
    <xf numFmtId="0" fontId="1" fillId="0" borderId="0" xfId="47" applyFont="1" applyAlignment="1" applyProtection="1">
      <alignment horizontal="right"/>
      <protection hidden="1"/>
    </xf>
    <xf numFmtId="182" fontId="1" fillId="0" borderId="0" xfId="47" applyNumberFormat="1" applyFont="1" applyBorder="1" applyAlignment="1" applyProtection="1">
      <alignment horizontal="left"/>
      <protection hidden="1"/>
    </xf>
    <xf numFmtId="182" fontId="1" fillId="0" borderId="0" xfId="47" applyNumberFormat="1" applyFont="1" applyBorder="1" applyProtection="1">
      <protection hidden="1"/>
    </xf>
    <xf numFmtId="182" fontId="1" fillId="0" borderId="0" xfId="47" applyNumberFormat="1" applyFont="1" applyBorder="1" applyAlignment="1" applyProtection="1">
      <alignment horizontal="right"/>
      <protection hidden="1"/>
    </xf>
    <xf numFmtId="182" fontId="1" fillId="0" borderId="0" xfId="47" applyNumberFormat="1" applyFont="1" applyFill="1" applyBorder="1" applyProtection="1">
      <protection hidden="1"/>
    </xf>
    <xf numFmtId="182" fontId="1" fillId="0" borderId="0" xfId="47" applyNumberFormat="1" applyFont="1" applyFill="1" applyProtection="1">
      <protection hidden="1"/>
    </xf>
    <xf numFmtId="182" fontId="1" fillId="0" borderId="0" xfId="47" applyNumberFormat="1" applyFont="1" applyFill="1" applyBorder="1" applyAlignment="1" applyProtection="1">
      <alignment horizontal="right"/>
      <protection hidden="1"/>
    </xf>
    <xf numFmtId="182" fontId="1" fillId="0" borderId="0" xfId="47" applyNumberFormat="1" applyFont="1" applyFill="1" applyBorder="1" applyAlignment="1" applyProtection="1">
      <alignment horizontal="left"/>
      <protection hidden="1"/>
    </xf>
    <xf numFmtId="182" fontId="1" fillId="0" borderId="3" xfId="47" applyNumberFormat="1" applyFont="1" applyBorder="1" applyProtection="1">
      <protection hidden="1"/>
    </xf>
    <xf numFmtId="182" fontId="1" fillId="0" borderId="3" xfId="47" applyNumberFormat="1" applyFont="1" applyBorder="1" applyAlignment="1" applyProtection="1">
      <alignment horizontal="left"/>
      <protection hidden="1"/>
    </xf>
    <xf numFmtId="182" fontId="1" fillId="0" borderId="3" xfId="47" applyNumberFormat="1" applyFont="1" applyBorder="1" applyAlignment="1" applyProtection="1">
      <alignment horizontal="right"/>
      <protection hidden="1"/>
    </xf>
    <xf numFmtId="182" fontId="7" fillId="0" borderId="24" xfId="47" applyNumberFormat="1" applyFont="1" applyFill="1" applyBorder="1" applyProtection="1">
      <protection hidden="1"/>
    </xf>
    <xf numFmtId="182" fontId="1" fillId="0" borderId="24" xfId="47" applyNumberFormat="1" applyFont="1" applyFill="1" applyBorder="1" applyProtection="1">
      <protection hidden="1"/>
    </xf>
    <xf numFmtId="182" fontId="1" fillId="0" borderId="24" xfId="47" applyNumberFormat="1" applyFont="1" applyFill="1" applyBorder="1" applyAlignment="1" applyProtection="1">
      <alignment horizontal="right"/>
      <protection hidden="1"/>
    </xf>
    <xf numFmtId="182" fontId="1" fillId="0" borderId="38" xfId="47" applyNumberFormat="1" applyFont="1" applyBorder="1" applyProtection="1">
      <protection hidden="1"/>
    </xf>
    <xf numFmtId="182" fontId="1" fillId="0" borderId="38" xfId="47" applyNumberFormat="1" applyFont="1" applyBorder="1" applyAlignment="1" applyProtection="1">
      <alignment horizontal="left"/>
      <protection hidden="1"/>
    </xf>
    <xf numFmtId="182" fontId="1" fillId="0" borderId="38" xfId="47" applyNumberFormat="1" applyFont="1" applyBorder="1" applyAlignment="1" applyProtection="1">
      <alignment horizontal="right"/>
      <protection hidden="1"/>
    </xf>
    <xf numFmtId="182" fontId="1" fillId="0" borderId="38" xfId="47" applyNumberFormat="1" applyFont="1" applyBorder="1" applyAlignment="1" applyProtection="1">
      <protection hidden="1"/>
    </xf>
    <xf numFmtId="0" fontId="9" fillId="0" borderId="0" xfId="47" applyProtection="1">
      <protection hidden="1"/>
    </xf>
    <xf numFmtId="14" fontId="2" fillId="0" borderId="0" xfId="46" applyNumberFormat="1" applyFont="1" applyFill="1" applyProtection="1">
      <protection hidden="1"/>
    </xf>
    <xf numFmtId="0" fontId="42" fillId="0" borderId="0" xfId="47" applyFont="1" applyProtection="1">
      <protection hidden="1"/>
    </xf>
    <xf numFmtId="0" fontId="15" fillId="0" borderId="0" xfId="47" applyFont="1" applyProtection="1">
      <protection hidden="1"/>
    </xf>
    <xf numFmtId="0" fontId="8" fillId="2" borderId="1" xfId="47" applyFont="1" applyFill="1" applyBorder="1" applyProtection="1">
      <protection hidden="1"/>
    </xf>
    <xf numFmtId="0" fontId="9" fillId="2" borderId="1" xfId="47" applyFill="1" applyBorder="1" applyProtection="1">
      <protection hidden="1"/>
    </xf>
    <xf numFmtId="0" fontId="7" fillId="0" borderId="7" xfId="46" applyFont="1" applyFill="1" applyBorder="1" applyProtection="1">
      <protection hidden="1"/>
    </xf>
    <xf numFmtId="0" fontId="62" fillId="0" borderId="7" xfId="46" applyFont="1" applyFill="1" applyBorder="1" applyProtection="1">
      <protection hidden="1"/>
    </xf>
    <xf numFmtId="0" fontId="9" fillId="0" borderId="7" xfId="46" applyFill="1" applyBorder="1" applyProtection="1">
      <protection hidden="1"/>
    </xf>
    <xf numFmtId="0" fontId="38" fillId="0" borderId="7" xfId="46" applyFont="1" applyFill="1" applyBorder="1" applyProtection="1">
      <protection hidden="1"/>
    </xf>
    <xf numFmtId="0" fontId="9" fillId="0" borderId="34" xfId="47" applyBorder="1" applyProtection="1">
      <protection hidden="1"/>
    </xf>
    <xf numFmtId="10" fontId="9" fillId="0" borderId="34" xfId="47" applyNumberFormat="1" applyBorder="1" applyProtection="1">
      <protection hidden="1"/>
    </xf>
    <xf numFmtId="0" fontId="8" fillId="0" borderId="0" xfId="46" applyFont="1" applyBorder="1" applyProtection="1">
      <protection hidden="1"/>
    </xf>
    <xf numFmtId="38" fontId="8" fillId="0" borderId="0" xfId="47" applyNumberFormat="1" applyFont="1" applyBorder="1" applyAlignment="1" applyProtection="1">
      <alignment horizontal="right"/>
      <protection hidden="1"/>
    </xf>
    <xf numFmtId="0" fontId="9" fillId="29" borderId="0" xfId="47" applyFill="1" applyBorder="1" applyAlignment="1" applyProtection="1">
      <alignment horizontal="left"/>
      <protection hidden="1"/>
    </xf>
    <xf numFmtId="0" fontId="9" fillId="0" borderId="0" xfId="47" applyBorder="1" applyProtection="1">
      <protection hidden="1"/>
    </xf>
    <xf numFmtId="0" fontId="9" fillId="0" borderId="0" xfId="47" applyBorder="1" applyAlignment="1" applyProtection="1">
      <alignment horizontal="left"/>
      <protection hidden="1"/>
    </xf>
    <xf numFmtId="0" fontId="8" fillId="0" borderId="0" xfId="47" applyFont="1" applyBorder="1" applyProtection="1">
      <protection hidden="1"/>
    </xf>
    <xf numFmtId="38" fontId="9" fillId="0" borderId="0" xfId="47" applyNumberFormat="1" applyBorder="1" applyProtection="1">
      <protection hidden="1"/>
    </xf>
    <xf numFmtId="179" fontId="8" fillId="0" borderId="0" xfId="47" applyNumberFormat="1" applyFont="1" applyBorder="1" applyProtection="1">
      <protection hidden="1"/>
    </xf>
    <xf numFmtId="38" fontId="19" fillId="0" borderId="0" xfId="47" applyNumberFormat="1" applyFont="1" applyBorder="1" applyAlignment="1" applyProtection="1">
      <alignment horizontal="right"/>
      <protection hidden="1"/>
    </xf>
    <xf numFmtId="0" fontId="46" fillId="0" borderId="0" xfId="47" applyNumberFormat="1" applyFont="1" applyBorder="1" applyProtection="1">
      <protection hidden="1"/>
    </xf>
    <xf numFmtId="0" fontId="42" fillId="0" borderId="0" xfId="47" applyFont="1" applyBorder="1" applyProtection="1">
      <protection hidden="1"/>
    </xf>
    <xf numFmtId="10" fontId="19" fillId="0" borderId="0" xfId="47" applyNumberFormat="1" applyFont="1" applyBorder="1" applyProtection="1">
      <protection hidden="1"/>
    </xf>
    <xf numFmtId="9" fontId="46" fillId="0" borderId="0" xfId="47" applyNumberFormat="1" applyFont="1" applyBorder="1" applyProtection="1">
      <protection hidden="1"/>
    </xf>
    <xf numFmtId="0" fontId="8" fillId="0" borderId="5" xfId="47" applyFont="1" applyBorder="1" applyProtection="1">
      <protection hidden="1"/>
    </xf>
    <xf numFmtId="38" fontId="46" fillId="0" borderId="5" xfId="47" applyNumberFormat="1" applyFont="1" applyBorder="1" applyProtection="1">
      <protection hidden="1"/>
    </xf>
    <xf numFmtId="0" fontId="46" fillId="0" borderId="5" xfId="47" applyFont="1" applyBorder="1" applyProtection="1">
      <protection hidden="1"/>
    </xf>
    <xf numFmtId="0" fontId="8" fillId="0" borderId="2" xfId="46" applyFont="1" applyBorder="1" applyProtection="1">
      <protection hidden="1"/>
    </xf>
    <xf numFmtId="38" fontId="8" fillId="0" borderId="2" xfId="47" applyNumberFormat="1" applyFont="1" applyBorder="1" applyAlignment="1" applyProtection="1">
      <alignment horizontal="right"/>
      <protection hidden="1"/>
    </xf>
    <xf numFmtId="0" fontId="9" fillId="29" borderId="2" xfId="47" applyFill="1" applyBorder="1" applyAlignment="1" applyProtection="1">
      <alignment horizontal="left"/>
      <protection hidden="1"/>
    </xf>
    <xf numFmtId="0" fontId="1" fillId="0" borderId="2" xfId="47" applyFont="1" applyBorder="1" applyProtection="1">
      <protection hidden="1"/>
    </xf>
    <xf numFmtId="0" fontId="8" fillId="0" borderId="1" xfId="47" applyFont="1" applyBorder="1" applyProtection="1">
      <protection hidden="1"/>
    </xf>
    <xf numFmtId="0" fontId="9" fillId="0" borderId="1" xfId="47" applyBorder="1" applyProtection="1">
      <protection hidden="1"/>
    </xf>
    <xf numFmtId="0" fontId="9" fillId="0" borderId="0" xfId="47" applyFont="1" applyProtection="1">
      <protection hidden="1"/>
    </xf>
    <xf numFmtId="0" fontId="9" fillId="0" borderId="3" xfId="47" applyFont="1" applyBorder="1" applyProtection="1">
      <protection hidden="1"/>
    </xf>
    <xf numFmtId="0" fontId="9" fillId="0" borderId="3" xfId="47" applyBorder="1" applyProtection="1">
      <protection hidden="1"/>
    </xf>
    <xf numFmtId="178" fontId="9" fillId="0" borderId="0" xfId="47" applyNumberFormat="1" applyProtection="1">
      <protection hidden="1"/>
    </xf>
    <xf numFmtId="0" fontId="1" fillId="0" borderId="0" xfId="46" applyFont="1" applyBorder="1" applyProtection="1">
      <protection hidden="1"/>
    </xf>
    <xf numFmtId="0" fontId="9" fillId="0" borderId="0" xfId="47" applyFont="1" applyBorder="1" applyProtection="1">
      <protection hidden="1"/>
    </xf>
    <xf numFmtId="38" fontId="9" fillId="0" borderId="0" xfId="47" applyNumberFormat="1" applyProtection="1">
      <protection hidden="1"/>
    </xf>
    <xf numFmtId="0" fontId="2" fillId="0" borderId="0" xfId="47" applyFont="1" applyProtection="1">
      <protection hidden="1"/>
    </xf>
    <xf numFmtId="0" fontId="9" fillId="4" borderId="0" xfId="47" applyNumberFormat="1" applyFill="1" applyBorder="1" applyProtection="1">
      <protection hidden="1"/>
    </xf>
    <xf numFmtId="0" fontId="8" fillId="0" borderId="2" xfId="47" applyFont="1" applyBorder="1" applyProtection="1">
      <protection hidden="1"/>
    </xf>
    <xf numFmtId="0" fontId="9" fillId="0" borderId="2" xfId="47" applyFont="1" applyBorder="1" applyProtection="1">
      <protection hidden="1"/>
    </xf>
    <xf numFmtId="0" fontId="9" fillId="0" borderId="2" xfId="47" applyBorder="1" applyProtection="1">
      <protection hidden="1"/>
    </xf>
    <xf numFmtId="0" fontId="9" fillId="0" borderId="5" xfId="47" applyBorder="1" applyProtection="1">
      <protection hidden="1"/>
    </xf>
    <xf numFmtId="10" fontId="9" fillId="0" borderId="5" xfId="47" applyNumberFormat="1" applyFont="1" applyBorder="1" applyProtection="1">
      <protection hidden="1"/>
    </xf>
    <xf numFmtId="0" fontId="9" fillId="0" borderId="5" xfId="47" applyNumberFormat="1" applyBorder="1" applyProtection="1">
      <protection hidden="1"/>
    </xf>
    <xf numFmtId="38" fontId="46" fillId="0" borderId="0" xfId="47" applyNumberFormat="1" applyFont="1" applyBorder="1" applyProtection="1">
      <protection hidden="1"/>
    </xf>
    <xf numFmtId="0" fontId="46" fillId="0" borderId="0" xfId="47" applyFont="1" applyBorder="1" applyProtection="1">
      <protection hidden="1"/>
    </xf>
    <xf numFmtId="192" fontId="9" fillId="0" borderId="0" xfId="47" applyNumberFormat="1" applyProtection="1">
      <protection hidden="1"/>
    </xf>
    <xf numFmtId="6" fontId="9" fillId="0" borderId="0" xfId="47" applyNumberFormat="1" applyProtection="1">
      <protection hidden="1"/>
    </xf>
    <xf numFmtId="6" fontId="63" fillId="0" borderId="0" xfId="47" applyNumberFormat="1" applyFont="1" applyProtection="1">
      <protection hidden="1"/>
    </xf>
    <xf numFmtId="0" fontId="63" fillId="0" borderId="0" xfId="47" applyFont="1" applyProtection="1">
      <protection hidden="1"/>
    </xf>
    <xf numFmtId="186" fontId="63" fillId="0" borderId="0" xfId="47" applyNumberFormat="1" applyFont="1" applyProtection="1">
      <protection hidden="1"/>
    </xf>
    <xf numFmtId="5" fontId="63" fillId="0" borderId="0" xfId="47" applyNumberFormat="1" applyFont="1" applyProtection="1">
      <protection hidden="1"/>
    </xf>
    <xf numFmtId="182" fontId="9" fillId="0" borderId="0" xfId="47" applyNumberFormat="1" applyBorder="1" applyProtection="1">
      <protection hidden="1"/>
    </xf>
    <xf numFmtId="182" fontId="9" fillId="3" borderId="5" xfId="47" applyNumberFormat="1" applyFill="1" applyBorder="1" applyProtection="1">
      <protection hidden="1"/>
    </xf>
    <xf numFmtId="182" fontId="9" fillId="0" borderId="0" xfId="47" applyNumberFormat="1" applyFill="1" applyBorder="1" applyProtection="1">
      <protection hidden="1"/>
    </xf>
    <xf numFmtId="182" fontId="9" fillId="0" borderId="3" xfId="47" applyNumberFormat="1" applyBorder="1" applyProtection="1">
      <protection hidden="1"/>
    </xf>
    <xf numFmtId="182" fontId="9" fillId="0" borderId="0" xfId="47" applyNumberFormat="1" applyProtection="1">
      <protection hidden="1"/>
    </xf>
    <xf numFmtId="182" fontId="9" fillId="0" borderId="0" xfId="47" applyNumberFormat="1" applyFill="1" applyProtection="1">
      <protection hidden="1"/>
    </xf>
    <xf numFmtId="182" fontId="9" fillId="0" borderId="2" xfId="47" applyNumberFormat="1" applyBorder="1" applyProtection="1">
      <protection hidden="1"/>
    </xf>
    <xf numFmtId="182" fontId="9" fillId="0" borderId="5" xfId="47" applyNumberFormat="1" applyFill="1" applyBorder="1" applyProtection="1">
      <protection hidden="1"/>
    </xf>
    <xf numFmtId="182" fontId="9" fillId="0" borderId="5" xfId="47" applyNumberFormat="1" applyBorder="1" applyProtection="1">
      <protection hidden="1"/>
    </xf>
    <xf numFmtId="9" fontId="2" fillId="29" borderId="9" xfId="0" applyNumberFormat="1" applyFont="1" applyFill="1" applyBorder="1" applyProtection="1">
      <alignment vertical="center"/>
      <protection locked="0"/>
    </xf>
    <xf numFmtId="0" fontId="2" fillId="29" borderId="0" xfId="0" applyFont="1" applyFill="1" applyBorder="1" applyProtection="1">
      <alignment vertical="center"/>
      <protection locked="0"/>
    </xf>
    <xf numFmtId="0" fontId="2" fillId="29" borderId="19" xfId="0" applyFont="1" applyFill="1" applyBorder="1" applyProtection="1">
      <alignment vertical="center"/>
      <protection locked="0"/>
    </xf>
    <xf numFmtId="9" fontId="2" fillId="29" borderId="0" xfId="0" applyNumberFormat="1" applyFont="1" applyFill="1" applyBorder="1" applyProtection="1">
      <alignment vertical="center"/>
      <protection locked="0"/>
    </xf>
    <xf numFmtId="9" fontId="2" fillId="29" borderId="50" xfId="0" applyNumberFormat="1" applyFont="1" applyFill="1" applyBorder="1" applyProtection="1">
      <alignment vertical="center"/>
      <protection locked="0"/>
    </xf>
    <xf numFmtId="0" fontId="2" fillId="29" borderId="2" xfId="0" applyFont="1" applyFill="1" applyBorder="1" applyProtection="1">
      <alignment vertical="center"/>
      <protection locked="0"/>
    </xf>
    <xf numFmtId="9" fontId="2" fillId="29" borderId="2" xfId="0" applyNumberFormat="1" applyFont="1" applyFill="1" applyBorder="1" applyProtection="1">
      <alignment vertical="center"/>
      <protection locked="0"/>
    </xf>
    <xf numFmtId="0" fontId="2" fillId="29" borderId="49" xfId="0" applyFont="1" applyFill="1" applyBorder="1" applyProtection="1">
      <alignment vertical="center"/>
      <protection locked="0"/>
    </xf>
    <xf numFmtId="9" fontId="2" fillId="29" borderId="52" xfId="0" applyNumberFormat="1" applyFont="1" applyFill="1" applyBorder="1" applyProtection="1">
      <alignment vertical="center"/>
      <protection locked="0"/>
    </xf>
    <xf numFmtId="9" fontId="2" fillId="29" borderId="5" xfId="0" applyNumberFormat="1" applyFont="1" applyFill="1" applyBorder="1" applyProtection="1">
      <alignment vertical="center"/>
      <protection locked="0"/>
    </xf>
    <xf numFmtId="9" fontId="2" fillId="29" borderId="21" xfId="0" applyNumberFormat="1" applyFont="1" applyFill="1" applyBorder="1" applyProtection="1">
      <alignment vertical="center"/>
      <protection locked="0"/>
    </xf>
    <xf numFmtId="0" fontId="2" fillId="29" borderId="21" xfId="0" applyFont="1" applyFill="1" applyBorder="1" applyProtection="1">
      <alignment vertical="center"/>
      <protection locked="0"/>
    </xf>
    <xf numFmtId="9" fontId="2" fillId="29" borderId="19" xfId="0" applyNumberFormat="1" applyFont="1" applyFill="1" applyBorder="1" applyProtection="1">
      <alignment vertical="center"/>
      <protection locked="0"/>
    </xf>
    <xf numFmtId="188" fontId="0" fillId="29" borderId="0" xfId="0" applyNumberFormat="1" applyFill="1" applyProtection="1">
      <alignment vertical="center"/>
      <protection locked="0"/>
    </xf>
    <xf numFmtId="10" fontId="0" fillId="29" borderId="0" xfId="0" applyNumberFormat="1" applyFill="1" applyProtection="1">
      <alignment vertical="center"/>
      <protection locked="0"/>
    </xf>
    <xf numFmtId="193" fontId="0" fillId="29" borderId="0" xfId="0" applyNumberFormat="1" applyFill="1" applyBorder="1" applyProtection="1">
      <alignment vertical="center"/>
      <protection locked="0"/>
    </xf>
    <xf numFmtId="0" fontId="1" fillId="28" borderId="0" xfId="51" applyFont="1" applyFill="1" applyBorder="1" applyProtection="1">
      <protection locked="0"/>
    </xf>
    <xf numFmtId="0" fontId="1" fillId="28" borderId="1" xfId="51" applyFont="1" applyFill="1" applyBorder="1" applyProtection="1">
      <protection locked="0"/>
    </xf>
    <xf numFmtId="186" fontId="1" fillId="28" borderId="0" xfId="0" applyNumberFormat="1" applyFont="1" applyFill="1" applyBorder="1" applyProtection="1">
      <alignment vertical="center"/>
      <protection hidden="1"/>
    </xf>
    <xf numFmtId="186" fontId="1" fillId="28" borderId="0" xfId="0" applyNumberFormat="1" applyFont="1" applyFill="1" applyBorder="1" applyAlignment="1" applyProtection="1">
      <alignment vertical="center"/>
      <protection hidden="1"/>
    </xf>
    <xf numFmtId="191" fontId="1" fillId="28" borderId="0" xfId="0" applyNumberFormat="1" applyFont="1" applyFill="1" applyBorder="1" applyAlignment="1" applyProtection="1">
      <alignment vertical="center"/>
      <protection hidden="1"/>
    </xf>
    <xf numFmtId="0" fontId="1" fillId="28" borderId="0" xfId="0" applyFont="1" applyFill="1" applyBorder="1" applyAlignment="1" applyProtection="1">
      <protection hidden="1"/>
    </xf>
    <xf numFmtId="0" fontId="60" fillId="28" borderId="0" xfId="0" applyFont="1" applyFill="1" applyBorder="1" applyAlignment="1" applyProtection="1">
      <alignment vertical="center"/>
      <protection hidden="1"/>
    </xf>
    <xf numFmtId="182" fontId="60" fillId="28" borderId="0" xfId="0" applyNumberFormat="1" applyFont="1" applyFill="1" applyBorder="1" applyAlignment="1" applyProtection="1">
      <alignment vertical="center"/>
      <protection hidden="1"/>
    </xf>
    <xf numFmtId="0" fontId="1" fillId="28" borderId="0" xfId="0" applyFont="1" applyFill="1" applyBorder="1" applyAlignment="1" applyProtection="1">
      <alignment vertical="center"/>
      <protection hidden="1"/>
    </xf>
    <xf numFmtId="191" fontId="1" fillId="28" borderId="0" xfId="0" quotePrefix="1" applyNumberFormat="1" applyFont="1" applyFill="1" applyBorder="1" applyAlignment="1" applyProtection="1">
      <alignment vertical="center"/>
      <protection hidden="1"/>
    </xf>
    <xf numFmtId="0" fontId="1" fillId="28" borderId="0" xfId="0" applyNumberFormat="1" applyFont="1" applyFill="1" applyBorder="1" applyAlignment="1" applyProtection="1">
      <alignment vertical="center"/>
      <protection hidden="1"/>
    </xf>
    <xf numFmtId="0" fontId="1" fillId="28" borderId="0" xfId="51" applyFont="1" applyFill="1" applyBorder="1" applyAlignment="1" applyProtection="1">
      <protection hidden="1"/>
    </xf>
    <xf numFmtId="0" fontId="1" fillId="28" borderId="0" xfId="51" applyFont="1" applyFill="1" applyBorder="1" applyAlignment="1" applyProtection="1">
      <protection locked="0"/>
    </xf>
    <xf numFmtId="0" fontId="1" fillId="5" borderId="0" xfId="51" applyFont="1" applyFill="1" applyBorder="1"/>
    <xf numFmtId="0" fontId="1" fillId="29" borderId="0" xfId="51" applyFont="1" applyFill="1" applyBorder="1" applyProtection="1">
      <protection locked="0"/>
    </xf>
    <xf numFmtId="9" fontId="1" fillId="29" borderId="0" xfId="51" applyNumberFormat="1" applyFont="1" applyFill="1" applyBorder="1" applyProtection="1">
      <protection locked="0"/>
    </xf>
    <xf numFmtId="186" fontId="1" fillId="28" borderId="3" xfId="51" applyNumberFormat="1" applyFont="1" applyFill="1" applyBorder="1" applyProtection="1">
      <protection locked="0"/>
    </xf>
    <xf numFmtId="186" fontId="1" fillId="29" borderId="0" xfId="51" applyNumberFormat="1" applyFont="1" applyFill="1" applyBorder="1" applyAlignment="1" applyProtection="1">
      <alignment horizontal="center"/>
      <protection locked="0"/>
    </xf>
    <xf numFmtId="186" fontId="1" fillId="29" borderId="0" xfId="51" applyNumberFormat="1" applyFont="1" applyFill="1" applyBorder="1" applyProtection="1">
      <protection locked="0"/>
    </xf>
    <xf numFmtId="186" fontId="1" fillId="29" borderId="3" xfId="51" applyNumberFormat="1" applyFont="1" applyFill="1" applyBorder="1" applyAlignment="1" applyProtection="1">
      <alignment horizontal="center"/>
      <protection locked="0"/>
    </xf>
    <xf numFmtId="186" fontId="1" fillId="29" borderId="38" xfId="51" applyNumberFormat="1" applyFont="1" applyFill="1" applyBorder="1" applyProtection="1">
      <protection locked="0"/>
    </xf>
    <xf numFmtId="186" fontId="1" fillId="29" borderId="0" xfId="51" applyNumberFormat="1" applyFont="1" applyFill="1" applyBorder="1" applyProtection="1">
      <protection hidden="1"/>
    </xf>
    <xf numFmtId="0" fontId="69" fillId="0" borderId="0" xfId="51" applyFont="1" applyBorder="1" applyAlignment="1">
      <alignment vertical="center"/>
    </xf>
    <xf numFmtId="0" fontId="2" fillId="0" borderId="59" xfId="0" applyFont="1" applyBorder="1" applyProtection="1">
      <alignment vertical="center"/>
      <protection hidden="1"/>
    </xf>
    <xf numFmtId="0" fontId="2" fillId="0" borderId="60" xfId="0" applyFont="1" applyBorder="1" applyProtection="1">
      <alignment vertical="center"/>
      <protection hidden="1"/>
    </xf>
    <xf numFmtId="0" fontId="2" fillId="0" borderId="35" xfId="0" applyFont="1" applyBorder="1" applyProtection="1">
      <alignment vertical="center"/>
      <protection hidden="1"/>
    </xf>
    <xf numFmtId="0" fontId="2" fillId="0" borderId="61" xfId="0" applyFont="1" applyBorder="1" applyProtection="1">
      <alignment vertical="center"/>
      <protection hidden="1"/>
    </xf>
    <xf numFmtId="0" fontId="2" fillId="0" borderId="48" xfId="0" applyFont="1" applyBorder="1" applyProtection="1">
      <alignment vertical="center"/>
      <protection hidden="1"/>
    </xf>
    <xf numFmtId="177" fontId="2" fillId="0" borderId="19" xfId="0" applyNumberFormat="1" applyFont="1" applyBorder="1" applyProtection="1">
      <alignment vertical="center"/>
      <protection hidden="1"/>
    </xf>
    <xf numFmtId="177" fontId="2" fillId="0" borderId="0" xfId="0" applyNumberFormat="1" applyFont="1" applyBorder="1" applyAlignment="1" applyProtection="1">
      <alignment horizontal="right" vertical="center"/>
      <protection hidden="1"/>
    </xf>
    <xf numFmtId="0" fontId="2" fillId="0" borderId="62" xfId="0" applyFont="1" applyBorder="1" applyProtection="1">
      <alignment vertical="center"/>
      <protection hidden="1"/>
    </xf>
    <xf numFmtId="177" fontId="2" fillId="0" borderId="49" xfId="0" applyNumberFormat="1" applyFont="1" applyBorder="1" applyProtection="1">
      <alignment vertical="center"/>
      <protection hidden="1"/>
    </xf>
    <xf numFmtId="0" fontId="2" fillId="0" borderId="63" xfId="0" applyFont="1" applyBorder="1" applyProtection="1">
      <alignment vertical="center"/>
      <protection hidden="1"/>
    </xf>
    <xf numFmtId="177" fontId="2" fillId="0" borderId="21" xfId="0" applyNumberFormat="1" applyFont="1" applyBorder="1" applyProtection="1">
      <alignment vertical="center"/>
      <protection hidden="1"/>
    </xf>
    <xf numFmtId="0" fontId="2" fillId="0" borderId="64" xfId="0" applyFont="1" applyBorder="1" applyProtection="1">
      <alignment vertical="center"/>
      <protection hidden="1"/>
    </xf>
    <xf numFmtId="0" fontId="2" fillId="0" borderId="65" xfId="0" applyFont="1" applyBorder="1" applyProtection="1">
      <alignment vertical="center"/>
      <protection hidden="1"/>
    </xf>
    <xf numFmtId="0" fontId="2" fillId="0" borderId="66" xfId="0" applyFont="1" applyBorder="1" applyProtection="1">
      <alignment vertical="center"/>
      <protection hidden="1"/>
    </xf>
    <xf numFmtId="0" fontId="2" fillId="0" borderId="67" xfId="0" applyFont="1" applyBorder="1" applyProtection="1">
      <alignment vertical="center"/>
      <protection hidden="1"/>
    </xf>
    <xf numFmtId="177" fontId="2" fillId="0" borderId="66" xfId="0" applyNumberFormat="1" applyFont="1" applyBorder="1" applyProtection="1">
      <alignment vertical="center"/>
      <protection hidden="1"/>
    </xf>
    <xf numFmtId="177" fontId="2" fillId="0" borderId="68" xfId="0" applyNumberFormat="1" applyFont="1" applyBorder="1" applyProtection="1">
      <alignment vertical="center"/>
      <protection hidden="1"/>
    </xf>
    <xf numFmtId="177" fontId="2" fillId="0" borderId="67" xfId="0" applyNumberFormat="1" applyFont="1" applyBorder="1" applyProtection="1">
      <alignment vertical="center"/>
      <protection hidden="1"/>
    </xf>
    <xf numFmtId="0" fontId="42" fillId="0" borderId="0" xfId="46" applyFont="1" applyBorder="1" applyProtection="1">
      <protection hidden="1"/>
    </xf>
    <xf numFmtId="0" fontId="9" fillId="0" borderId="0" xfId="46" applyFont="1" applyBorder="1" applyProtection="1">
      <protection hidden="1"/>
    </xf>
    <xf numFmtId="0" fontId="18" fillId="0" borderId="0" xfId="46" applyFont="1" applyBorder="1" applyProtection="1">
      <protection hidden="1"/>
    </xf>
    <xf numFmtId="0" fontId="18" fillId="0" borderId="0" xfId="46" applyFont="1" applyFill="1" applyBorder="1" applyProtection="1">
      <protection hidden="1"/>
    </xf>
    <xf numFmtId="0" fontId="8" fillId="28" borderId="0" xfId="46" applyFont="1" applyFill="1" applyBorder="1" applyProtection="1">
      <protection hidden="1"/>
    </xf>
    <xf numFmtId="0" fontId="48" fillId="0" borderId="0" xfId="46" applyFont="1" applyFill="1" applyBorder="1" applyProtection="1">
      <protection hidden="1"/>
    </xf>
    <xf numFmtId="0" fontId="8" fillId="28" borderId="5" xfId="46" applyFont="1" applyFill="1" applyBorder="1" applyProtection="1">
      <protection hidden="1"/>
    </xf>
    <xf numFmtId="0" fontId="48" fillId="0" borderId="5" xfId="46" applyFont="1" applyFill="1" applyBorder="1" applyProtection="1">
      <protection hidden="1"/>
    </xf>
    <xf numFmtId="0" fontId="8" fillId="0" borderId="5" xfId="46" applyFont="1" applyBorder="1" applyProtection="1">
      <protection hidden="1"/>
    </xf>
    <xf numFmtId="38" fontId="9" fillId="0" borderId="5" xfId="34" applyFont="1" applyFill="1" applyBorder="1" applyAlignment="1" applyProtection="1">
      <protection hidden="1"/>
    </xf>
    <xf numFmtId="186" fontId="1" fillId="30" borderId="0" xfId="51" applyNumberFormat="1" applyFont="1" applyFill="1" applyBorder="1" applyProtection="1">
      <protection hidden="1"/>
    </xf>
    <xf numFmtId="195" fontId="1" fillId="30" borderId="0" xfId="51" applyNumberFormat="1" applyFont="1" applyFill="1" applyBorder="1" applyProtection="1">
      <protection hidden="1"/>
    </xf>
    <xf numFmtId="182" fontId="1" fillId="30" borderId="0" xfId="51" applyNumberFormat="1" applyFont="1" applyFill="1" applyBorder="1" applyProtection="1">
      <protection hidden="1"/>
    </xf>
    <xf numFmtId="186" fontId="1" fillId="30" borderId="3" xfId="51" applyNumberFormat="1" applyFont="1" applyFill="1" applyBorder="1" applyProtection="1">
      <protection hidden="1"/>
    </xf>
    <xf numFmtId="186" fontId="1" fillId="30" borderId="0" xfId="51" applyNumberFormat="1" applyFont="1" applyFill="1" applyBorder="1" applyProtection="1">
      <protection locked="0"/>
    </xf>
    <xf numFmtId="186" fontId="1" fillId="30" borderId="0" xfId="0" applyNumberFormat="1" applyFont="1" applyFill="1" applyBorder="1" applyProtection="1">
      <alignment vertical="center"/>
      <protection hidden="1"/>
    </xf>
    <xf numFmtId="0" fontId="1" fillId="30" borderId="0" xfId="0" applyFont="1" applyFill="1" applyBorder="1" applyProtection="1">
      <alignment vertical="center"/>
      <protection hidden="1"/>
    </xf>
    <xf numFmtId="186" fontId="1" fillId="30" borderId="0" xfId="0" quotePrefix="1" applyNumberFormat="1" applyFont="1" applyFill="1" applyBorder="1" applyProtection="1">
      <alignment vertical="center"/>
      <protection hidden="1"/>
    </xf>
    <xf numFmtId="0" fontId="1" fillId="30" borderId="0" xfId="0" applyFont="1" applyFill="1" applyBorder="1" applyAlignment="1" applyProtection="1">
      <alignment vertical="top"/>
      <protection hidden="1"/>
    </xf>
    <xf numFmtId="186" fontId="1" fillId="30" borderId="38" xfId="0" applyNumberFormat="1" applyFont="1" applyFill="1" applyBorder="1" applyProtection="1">
      <alignment vertical="center"/>
      <protection hidden="1"/>
    </xf>
    <xf numFmtId="182" fontId="0" fillId="0" borderId="10" xfId="0" applyNumberFormat="1" applyBorder="1" applyProtection="1">
      <alignment vertical="center"/>
      <protection hidden="1"/>
    </xf>
    <xf numFmtId="10" fontId="0" fillId="0" borderId="37" xfId="0" applyNumberFormat="1" applyFill="1" applyBorder="1" applyProtection="1">
      <alignment vertical="center"/>
      <protection hidden="1"/>
    </xf>
    <xf numFmtId="182" fontId="0" fillId="0" borderId="38" xfId="0" applyNumberFormat="1" applyFill="1" applyBorder="1" applyProtection="1">
      <alignment vertical="center"/>
      <protection hidden="1"/>
    </xf>
    <xf numFmtId="182" fontId="0" fillId="0" borderId="39" xfId="0" applyNumberFormat="1" applyFill="1" applyBorder="1" applyProtection="1">
      <alignment vertical="center"/>
      <protection hidden="1"/>
    </xf>
    <xf numFmtId="0" fontId="0" fillId="0" borderId="8" xfId="0" applyBorder="1" applyProtection="1">
      <alignment vertical="center"/>
      <protection hidden="1"/>
    </xf>
    <xf numFmtId="38" fontId="0" fillId="0" borderId="3" xfId="0" applyNumberFormat="1" applyBorder="1" applyProtection="1">
      <alignment vertical="center"/>
      <protection hidden="1"/>
    </xf>
    <xf numFmtId="38" fontId="0" fillId="0" borderId="10" xfId="0" applyNumberFormat="1" applyBorder="1" applyProtection="1">
      <alignment vertical="center"/>
      <protection hidden="1"/>
    </xf>
    <xf numFmtId="38" fontId="0" fillId="0" borderId="38" xfId="0" applyNumberFormat="1" applyBorder="1" applyProtection="1">
      <alignment vertical="center"/>
      <protection hidden="1"/>
    </xf>
    <xf numFmtId="38" fontId="0" fillId="0" borderId="39" xfId="0" applyNumberFormat="1" applyBorder="1" applyProtection="1">
      <alignment vertical="center"/>
      <protection hidden="1"/>
    </xf>
    <xf numFmtId="0" fontId="18" fillId="0" borderId="0" xfId="0" applyFont="1" applyFill="1" applyBorder="1" applyProtection="1">
      <alignment vertical="center"/>
      <protection hidden="1"/>
    </xf>
    <xf numFmtId="38" fontId="44" fillId="0" borderId="1" xfId="0" applyNumberFormat="1" applyFont="1" applyBorder="1" applyProtection="1">
      <alignment vertical="center"/>
      <protection hidden="1"/>
    </xf>
    <xf numFmtId="38" fontId="44" fillId="0" borderId="1" xfId="34" applyFont="1" applyBorder="1" applyProtection="1">
      <alignment vertical="center"/>
      <protection hidden="1"/>
    </xf>
    <xf numFmtId="14" fontId="70" fillId="0" borderId="0" xfId="46" applyNumberFormat="1" applyFont="1" applyProtection="1">
      <protection hidden="1"/>
    </xf>
    <xf numFmtId="0" fontId="70" fillId="0" borderId="0" xfId="46" applyFont="1" applyAlignment="1" applyProtection="1">
      <alignment horizontal="left"/>
      <protection hidden="1"/>
    </xf>
    <xf numFmtId="0" fontId="9" fillId="0" borderId="0" xfId="47" applyNumberFormat="1" applyFont="1" applyBorder="1" applyProtection="1">
      <protection hidden="1"/>
    </xf>
    <xf numFmtId="0" fontId="1" fillId="0" borderId="5" xfId="47" applyNumberFormat="1" applyFont="1" applyBorder="1" applyProtection="1">
      <protection hidden="1"/>
    </xf>
    <xf numFmtId="186" fontId="1" fillId="29" borderId="1" xfId="0" applyNumberFormat="1" applyFont="1" applyFill="1" applyBorder="1" applyAlignment="1" applyProtection="1">
      <alignment horizontal="center" vertical="center" wrapText="1"/>
      <protection locked="0"/>
    </xf>
    <xf numFmtId="0" fontId="1" fillId="0" borderId="23" xfId="0" applyFont="1" applyBorder="1">
      <alignment vertical="center"/>
    </xf>
    <xf numFmtId="0" fontId="71" fillId="0" borderId="69" xfId="51" applyFont="1" applyBorder="1" applyAlignment="1">
      <alignment vertical="center"/>
    </xf>
    <xf numFmtId="0" fontId="12" fillId="0" borderId="23" xfId="51" applyFont="1" applyBorder="1" applyAlignment="1">
      <alignment vertical="center" wrapText="1"/>
    </xf>
    <xf numFmtId="0" fontId="55" fillId="0" borderId="11" xfId="118" applyFont="1" applyBorder="1"/>
    <xf numFmtId="188" fontId="9" fillId="0" borderId="0" xfId="47" applyNumberFormat="1" applyProtection="1">
      <protection hidden="1"/>
    </xf>
    <xf numFmtId="0" fontId="9" fillId="0" borderId="0" xfId="47" applyFill="1" applyBorder="1" applyAlignment="1" applyProtection="1">
      <alignment horizontal="left"/>
      <protection hidden="1"/>
    </xf>
    <xf numFmtId="0" fontId="1" fillId="0" borderId="0" xfId="47" applyFont="1" applyFill="1" applyBorder="1" applyProtection="1">
      <protection hidden="1"/>
    </xf>
    <xf numFmtId="38" fontId="1" fillId="0" borderId="0" xfId="47" applyNumberFormat="1" applyFont="1" applyFill="1" applyBorder="1" applyAlignment="1" applyProtection="1">
      <alignment horizontal="left"/>
      <protection hidden="1"/>
    </xf>
    <xf numFmtId="38" fontId="9" fillId="0" borderId="0" xfId="0" applyNumberFormat="1" applyFont="1" applyFill="1" applyProtection="1">
      <alignment vertical="center"/>
      <protection hidden="1"/>
    </xf>
    <xf numFmtId="38" fontId="10" fillId="0" borderId="0" xfId="0" applyNumberFormat="1" applyFont="1" applyFill="1" applyProtection="1">
      <alignment vertical="center"/>
      <protection hidden="1"/>
    </xf>
    <xf numFmtId="0" fontId="14" fillId="0" borderId="0" xfId="46" applyFont="1" applyAlignment="1" applyProtection="1">
      <alignment vertical="center"/>
      <protection hidden="1"/>
    </xf>
    <xf numFmtId="0" fontId="1" fillId="0" borderId="17" xfId="0" applyFont="1" applyBorder="1" applyProtection="1">
      <alignment vertical="center"/>
      <protection hidden="1"/>
    </xf>
    <xf numFmtId="177" fontId="2" fillId="0" borderId="2" xfId="0" applyNumberFormat="1" applyFont="1" applyFill="1" applyBorder="1" applyProtection="1">
      <alignment vertical="center"/>
      <protection hidden="1"/>
    </xf>
    <xf numFmtId="177" fontId="2" fillId="0" borderId="5" xfId="0" applyNumberFormat="1" applyFont="1" applyFill="1" applyBorder="1" applyProtection="1">
      <alignment vertical="center"/>
      <protection hidden="1"/>
    </xf>
    <xf numFmtId="196" fontId="9" fillId="3" borderId="0" xfId="47" applyNumberFormat="1" applyFill="1" applyBorder="1" applyProtection="1">
      <protection hidden="1"/>
    </xf>
    <xf numFmtId="196" fontId="42" fillId="0" borderId="0" xfId="47" applyNumberFormat="1" applyFont="1" applyBorder="1" applyProtection="1">
      <protection hidden="1"/>
    </xf>
    <xf numFmtId="196" fontId="9" fillId="0" borderId="0" xfId="47" applyNumberFormat="1" applyBorder="1" applyAlignment="1" applyProtection="1">
      <alignment horizontal="right"/>
      <protection hidden="1"/>
    </xf>
    <xf numFmtId="196" fontId="9" fillId="0" borderId="0" xfId="47" applyNumberFormat="1" applyBorder="1" applyProtection="1">
      <protection hidden="1"/>
    </xf>
    <xf numFmtId="196" fontId="9" fillId="3" borderId="0" xfId="47" quotePrefix="1" applyNumberFormat="1" applyFill="1" applyBorder="1" applyProtection="1">
      <protection hidden="1"/>
    </xf>
    <xf numFmtId="196" fontId="9" fillId="0" borderId="0" xfId="47" quotePrefix="1" applyNumberFormat="1" applyFill="1" applyBorder="1" applyProtection="1">
      <protection hidden="1"/>
    </xf>
    <xf numFmtId="196" fontId="9" fillId="3" borderId="5" xfId="47" applyNumberFormat="1" applyFill="1" applyBorder="1" applyProtection="1">
      <protection hidden="1"/>
    </xf>
    <xf numFmtId="196" fontId="9" fillId="3" borderId="2" xfId="47" applyNumberFormat="1" applyFill="1" applyBorder="1" applyProtection="1">
      <protection hidden="1"/>
    </xf>
    <xf numFmtId="196" fontId="42" fillId="0" borderId="2" xfId="47" applyNumberFormat="1" applyFont="1" applyBorder="1" applyProtection="1">
      <protection hidden="1"/>
    </xf>
    <xf numFmtId="196" fontId="9" fillId="0" borderId="0" xfId="47" applyNumberFormat="1" applyFill="1" applyBorder="1" applyProtection="1">
      <protection hidden="1"/>
    </xf>
    <xf numFmtId="196" fontId="9" fillId="0" borderId="0" xfId="47" applyNumberFormat="1" applyFill="1" applyBorder="1" applyAlignment="1" applyProtection="1">
      <alignment horizontal="right"/>
      <protection hidden="1"/>
    </xf>
    <xf numFmtId="196" fontId="9" fillId="0" borderId="1" xfId="47" applyNumberFormat="1" applyBorder="1" applyProtection="1">
      <protection hidden="1"/>
    </xf>
    <xf numFmtId="186" fontId="1" fillId="28" borderId="1" xfId="51" applyNumberFormat="1" applyFont="1" applyFill="1" applyBorder="1" applyProtection="1">
      <protection locked="0"/>
    </xf>
    <xf numFmtId="0" fontId="1" fillId="0" borderId="9" xfId="0" applyFont="1" applyBorder="1" applyAlignment="1">
      <alignment horizontal="left" vertical="center" indent="1"/>
    </xf>
    <xf numFmtId="0" fontId="1" fillId="0" borderId="9" xfId="0" applyFont="1" applyBorder="1" applyAlignment="1" applyProtection="1">
      <alignment horizontal="left" vertical="center" indent="1"/>
      <protection hidden="1"/>
    </xf>
    <xf numFmtId="0" fontId="1" fillId="0" borderId="11" xfId="51" applyFont="1" applyBorder="1" applyAlignment="1">
      <alignment horizontal="left" indent="1"/>
    </xf>
    <xf numFmtId="0" fontId="1" fillId="0" borderId="8" xfId="51" applyFont="1" applyBorder="1" applyAlignment="1">
      <alignment horizontal="left" indent="1"/>
    </xf>
    <xf numFmtId="0" fontId="1" fillId="0" borderId="9" xfId="0" applyFont="1" applyFill="1" applyBorder="1" applyAlignment="1">
      <alignment horizontal="left" indent="1"/>
    </xf>
    <xf numFmtId="0" fontId="1" fillId="0" borderId="50" xfId="51" applyFont="1" applyBorder="1" applyAlignment="1">
      <alignment horizontal="left" indent="1"/>
    </xf>
    <xf numFmtId="0" fontId="1" fillId="0" borderId="9" xfId="0" applyFont="1" applyBorder="1" applyAlignment="1">
      <alignment horizontal="left" indent="1"/>
    </xf>
    <xf numFmtId="0" fontId="1" fillId="0" borderId="11" xfId="0" applyFont="1" applyFill="1" applyBorder="1" applyAlignment="1">
      <alignment horizontal="left" indent="1"/>
    </xf>
    <xf numFmtId="186" fontId="1" fillId="29" borderId="0" xfId="51" applyNumberFormat="1" applyFont="1" applyFill="1" applyBorder="1" applyAlignment="1" applyProtection="1">
      <alignment horizontal="right"/>
      <protection hidden="1"/>
    </xf>
    <xf numFmtId="0" fontId="72" fillId="0" borderId="0" xfId="0" applyFont="1">
      <alignment vertical="center"/>
    </xf>
    <xf numFmtId="0" fontId="1" fillId="0" borderId="16" xfId="0" applyFont="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2" fillId="0" borderId="15" xfId="0" applyFont="1" applyBorder="1" applyAlignment="1" applyProtection="1">
      <alignment horizontal="center" vertical="center"/>
      <protection hidden="1"/>
    </xf>
    <xf numFmtId="0" fontId="67" fillId="29" borderId="10" xfId="0" applyFont="1" applyFill="1" applyBorder="1" applyAlignment="1" applyProtection="1">
      <protection locked="0"/>
    </xf>
    <xf numFmtId="0" fontId="68" fillId="29" borderId="35" xfId="0" applyFont="1" applyFill="1" applyBorder="1" applyAlignment="1" applyProtection="1">
      <alignment horizontal="center" vertical="center"/>
      <protection locked="0"/>
    </xf>
    <xf numFmtId="0" fontId="67" fillId="29" borderId="19" xfId="0" applyFont="1" applyFill="1" applyBorder="1" applyAlignment="1" applyProtection="1">
      <protection locked="0"/>
    </xf>
    <xf numFmtId="0" fontId="68" fillId="29" borderId="48" xfId="0" applyFont="1" applyFill="1" applyBorder="1" applyAlignment="1" applyProtection="1">
      <alignment horizontal="center" vertical="center"/>
      <protection locked="0"/>
    </xf>
    <xf numFmtId="0" fontId="67" fillId="29" borderId="39" xfId="0" applyFont="1" applyFill="1" applyBorder="1" applyAlignment="1" applyProtection="1">
      <protection locked="0"/>
    </xf>
    <xf numFmtId="0" fontId="0" fillId="29" borderId="36" xfId="0" applyFill="1" applyBorder="1" applyAlignment="1" applyProtection="1">
      <alignment horizontal="center" vertical="center"/>
      <protection locked="0"/>
    </xf>
    <xf numFmtId="0" fontId="68" fillId="29" borderId="36" xfId="0" applyFont="1" applyFill="1" applyBorder="1" applyAlignment="1" applyProtection="1">
      <alignment horizontal="center" vertical="center"/>
      <protection locked="0"/>
    </xf>
    <xf numFmtId="0" fontId="68" fillId="30" borderId="35" xfId="0" applyFont="1" applyFill="1" applyBorder="1" applyAlignment="1">
      <alignment horizontal="center" vertical="center"/>
    </xf>
    <xf numFmtId="0" fontId="68" fillId="30" borderId="48" xfId="0" applyFont="1" applyFill="1" applyBorder="1" applyAlignment="1">
      <alignment horizontal="center" vertical="center"/>
    </xf>
    <xf numFmtId="0" fontId="68" fillId="30" borderId="36" xfId="0" applyFont="1" applyFill="1" applyBorder="1" applyAlignment="1">
      <alignment horizontal="center" vertical="center"/>
    </xf>
    <xf numFmtId="0" fontId="0" fillId="29" borderId="0" xfId="0" applyFill="1">
      <alignment vertical="center"/>
    </xf>
    <xf numFmtId="0" fontId="0" fillId="30" borderId="0" xfId="0" applyFill="1">
      <alignment vertical="center"/>
    </xf>
    <xf numFmtId="0" fontId="1" fillId="0" borderId="0" xfId="0" applyFont="1" applyAlignment="1">
      <alignment vertical="center"/>
    </xf>
    <xf numFmtId="0" fontId="72" fillId="0" borderId="0" xfId="0" applyFont="1" applyAlignment="1">
      <alignment vertical="center"/>
    </xf>
    <xf numFmtId="0" fontId="55" fillId="29" borderId="41" xfId="118" applyFont="1" applyFill="1" applyBorder="1" applyProtection="1">
      <protection locked="0"/>
    </xf>
    <xf numFmtId="0" fontId="55" fillId="29" borderId="53" xfId="118" applyFont="1" applyFill="1" applyBorder="1" applyProtection="1">
      <protection locked="0"/>
    </xf>
    <xf numFmtId="0" fontId="55" fillId="29" borderId="42" xfId="118" applyFont="1" applyFill="1" applyBorder="1" applyProtection="1">
      <protection locked="0"/>
    </xf>
    <xf numFmtId="0" fontId="55" fillId="29" borderId="44" xfId="118" applyFont="1" applyFill="1" applyBorder="1" applyProtection="1">
      <protection locked="0"/>
    </xf>
    <xf numFmtId="0" fontId="55" fillId="29" borderId="47" xfId="118" applyFont="1" applyFill="1" applyBorder="1" applyProtection="1">
      <protection locked="0"/>
    </xf>
    <xf numFmtId="0" fontId="55" fillId="29" borderId="45" xfId="118" applyFill="1" applyBorder="1" applyProtection="1">
      <protection locked="0"/>
    </xf>
    <xf numFmtId="0" fontId="55" fillId="29" borderId="36" xfId="118" applyFont="1" applyFill="1" applyBorder="1" applyProtection="1">
      <protection locked="0"/>
    </xf>
    <xf numFmtId="0" fontId="55" fillId="29" borderId="37" xfId="118" applyFont="1" applyFill="1" applyBorder="1" applyProtection="1">
      <protection locked="0"/>
    </xf>
    <xf numFmtId="0" fontId="55" fillId="29" borderId="6" xfId="118" applyFont="1" applyFill="1" applyBorder="1" applyProtection="1">
      <protection locked="0"/>
    </xf>
    <xf numFmtId="0" fontId="55" fillId="29" borderId="11" xfId="118" applyFont="1" applyFill="1" applyBorder="1" applyProtection="1">
      <protection locked="0"/>
    </xf>
    <xf numFmtId="0" fontId="55" fillId="29" borderId="35" xfId="118" applyFont="1" applyFill="1" applyBorder="1" applyProtection="1">
      <protection locked="0"/>
    </xf>
    <xf numFmtId="0" fontId="55" fillId="29" borderId="8" xfId="118" applyFont="1" applyFill="1" applyBorder="1" applyProtection="1">
      <protection locked="0"/>
    </xf>
    <xf numFmtId="0" fontId="55" fillId="29" borderId="41" xfId="118" applyFont="1" applyFill="1" applyBorder="1" applyAlignment="1" applyProtection="1">
      <alignment horizontal="right"/>
      <protection locked="0"/>
    </xf>
    <xf numFmtId="0" fontId="55" fillId="29" borderId="42" xfId="118" applyFill="1" applyBorder="1" applyAlignment="1" applyProtection="1">
      <alignment horizontal="right"/>
      <protection locked="0"/>
    </xf>
    <xf numFmtId="0" fontId="55" fillId="29" borderId="6" xfId="118" applyFill="1" applyBorder="1" applyAlignment="1" applyProtection="1">
      <alignment horizontal="right"/>
      <protection locked="0"/>
    </xf>
    <xf numFmtId="0" fontId="2" fillId="0" borderId="1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1" xfId="0" applyFont="1" applyBorder="1" applyAlignment="1" applyProtection="1">
      <alignment horizontal="center"/>
      <protection hidden="1"/>
    </xf>
    <xf numFmtId="0" fontId="2" fillId="0" borderId="23" xfId="0" applyFont="1" applyBorder="1" applyAlignment="1" applyProtection="1">
      <alignment horizontal="center"/>
      <protection hidden="1"/>
    </xf>
    <xf numFmtId="0" fontId="0" fillId="0" borderId="8"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44" fillId="0" borderId="35" xfId="0" applyFont="1" applyBorder="1" applyAlignment="1">
      <alignment horizontal="center" vertical="center" wrapText="1"/>
    </xf>
    <xf numFmtId="0" fontId="44" fillId="0" borderId="36" xfId="0" applyFont="1" applyBorder="1" applyAlignment="1">
      <alignment horizontal="center" vertical="center" wrapText="1"/>
    </xf>
    <xf numFmtId="0" fontId="59" fillId="0" borderId="35" xfId="118" applyFont="1" applyBorder="1" applyAlignment="1">
      <alignment horizontal="left" vertical="top" wrapText="1" shrinkToFit="1"/>
    </xf>
    <xf numFmtId="0" fontId="59" fillId="0" borderId="36" xfId="118" applyFont="1" applyBorder="1" applyAlignment="1">
      <alignment horizontal="left" vertical="top" wrapText="1" shrinkToFit="1"/>
    </xf>
    <xf numFmtId="0" fontId="55" fillId="0" borderId="23" xfId="118" applyFont="1" applyBorder="1" applyAlignment="1">
      <alignment horizontal="left" vertical="center"/>
    </xf>
    <xf numFmtId="0" fontId="55" fillId="0" borderId="10" xfId="118" applyFont="1" applyBorder="1" applyAlignment="1">
      <alignment horizontal="left" vertical="center"/>
    </xf>
    <xf numFmtId="0" fontId="57" fillId="0" borderId="6" xfId="118" applyFont="1" applyBorder="1" applyAlignment="1">
      <alignment horizontal="left" vertical="top" wrapText="1"/>
    </xf>
    <xf numFmtId="0" fontId="55" fillId="0" borderId="1" xfId="118" applyFont="1" applyBorder="1" applyAlignment="1">
      <alignment horizontal="left" vertical="center"/>
    </xf>
    <xf numFmtId="0" fontId="55" fillId="0" borderId="10" xfId="118" applyFont="1" applyBorder="1" applyAlignment="1">
      <alignment horizontal="left" vertical="top" wrapText="1"/>
    </xf>
    <xf numFmtId="0" fontId="55" fillId="0" borderId="19" xfId="118" applyFont="1" applyBorder="1" applyAlignment="1">
      <alignment horizontal="left" vertical="top" wrapText="1"/>
    </xf>
    <xf numFmtId="0" fontId="55" fillId="0" borderId="39" xfId="118" applyFont="1" applyBorder="1" applyAlignment="1">
      <alignment horizontal="left" vertical="top" wrapText="1"/>
    </xf>
    <xf numFmtId="0" fontId="57" fillId="0" borderId="11" xfId="118" applyFont="1" applyBorder="1" applyAlignment="1">
      <alignment horizontal="left" vertical="top" wrapText="1"/>
    </xf>
    <xf numFmtId="0" fontId="55" fillId="0" borderId="40" xfId="118" applyFont="1" applyFill="1" applyBorder="1" applyAlignment="1">
      <alignment horizontal="left"/>
    </xf>
    <xf numFmtId="0" fontId="55" fillId="0" borderId="24" xfId="118" applyFont="1" applyFill="1" applyBorder="1" applyAlignment="1">
      <alignment horizontal="left"/>
    </xf>
    <xf numFmtId="0" fontId="55" fillId="0" borderId="43" xfId="118" applyFont="1" applyFill="1" applyBorder="1"/>
    <xf numFmtId="0" fontId="55" fillId="0" borderId="46" xfId="118" applyFont="1" applyFill="1" applyBorder="1"/>
    <xf numFmtId="0" fontId="55" fillId="0" borderId="37" xfId="118" applyFont="1" applyBorder="1"/>
    <xf numFmtId="0" fontId="55" fillId="0" borderId="38" xfId="118" applyFont="1" applyBorder="1"/>
    <xf numFmtId="0" fontId="55" fillId="0" borderId="11" xfId="118" applyFont="1" applyBorder="1"/>
    <xf numFmtId="0" fontId="55" fillId="0" borderId="1" xfId="118" applyFont="1" applyBorder="1"/>
    <xf numFmtId="0" fontId="55" fillId="0" borderId="39" xfId="118" applyFont="1" applyBorder="1" applyAlignment="1">
      <alignment horizontal="left" vertical="center"/>
    </xf>
  </cellXfs>
  <cellStyles count="42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19"/>
    <cellStyle name="アクセント 2" xfId="20"/>
    <cellStyle name="アクセント 3" xfId="21"/>
    <cellStyle name="アクセント 4" xfId="22"/>
    <cellStyle name="アクセント 5" xfId="23"/>
    <cellStyle name="アクセント 6" xfId="24"/>
    <cellStyle name="タイトル" xfId="25"/>
    <cellStyle name="チェック セル" xfId="26"/>
    <cellStyle name="どちらでもない" xfId="27"/>
    <cellStyle name="パーセント" xfId="28" builtinId="5"/>
    <cellStyle name="パーセント 2" xfId="119"/>
    <cellStyle name="ハイパーリンク" xfId="49"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cellStyle name="メモ" xfId="29"/>
    <cellStyle name="リンク セル" xfId="30"/>
    <cellStyle name="悪い" xfId="31"/>
    <cellStyle name="計算" xfId="32"/>
    <cellStyle name="警告文" xfId="33"/>
    <cellStyle name="桁区切り" xfId="34" builtinId="6"/>
    <cellStyle name="桁区切り 2" xfId="35"/>
    <cellStyle name="見出し 1" xfId="36"/>
    <cellStyle name="見出し 2" xfId="37"/>
    <cellStyle name="見出し 3" xfId="38"/>
    <cellStyle name="見出し 4" xfId="39"/>
    <cellStyle name="集計" xfId="40"/>
    <cellStyle name="出力" xfId="41"/>
    <cellStyle name="説明文" xfId="42"/>
    <cellStyle name="通貨 3" xfId="43"/>
    <cellStyle name="入力" xfId="44"/>
    <cellStyle name="標準" xfId="0" builtinId="0"/>
    <cellStyle name="標準 2" xfId="45"/>
    <cellStyle name="標準 3" xfId="51"/>
    <cellStyle name="標準 4" xfId="118"/>
    <cellStyle name="標準_9-26 三種試算" xfId="46"/>
    <cellStyle name="標準_Mahoroba_iida040917" xfId="47"/>
    <cellStyle name="表示済みのハイパーリンク" xfId="50"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8" builtinId="9" hidden="1"/>
    <cellStyle name="表示済みのハイパーリンク" xfId="179" builtinId="9" hidden="1"/>
    <cellStyle name="表示済みのハイパーリンク" xfId="180" builtinId="9" hidden="1"/>
    <cellStyle name="表示済みのハイパーリンク" xfId="181" builtinId="9" hidden="1"/>
    <cellStyle name="表示済みのハイパーリンク" xfId="182" builtinId="9" hidden="1"/>
    <cellStyle name="表示済みのハイパーリンク" xfId="183" builtinId="9" hidden="1"/>
    <cellStyle name="表示済みのハイパーリンク" xfId="184" builtinId="9" hidden="1"/>
    <cellStyle name="表示済みのハイパーリンク" xfId="185" builtinId="9" hidden="1"/>
    <cellStyle name="表示済みのハイパーリンク" xfId="186" builtinId="9" hidden="1"/>
    <cellStyle name="表示済みのハイパーリンク" xfId="187" builtinId="9" hidden="1"/>
    <cellStyle name="表示済みのハイパーリンク" xfId="188" builtinId="9" hidden="1"/>
    <cellStyle name="表示済みのハイパーリンク" xfId="189" builtinId="9" hidden="1"/>
    <cellStyle name="表示済みのハイパーリンク" xfId="190" builtinId="9" hidden="1"/>
    <cellStyle name="表示済みのハイパーリンク" xfId="191" builtinId="9" hidden="1"/>
    <cellStyle name="表示済みのハイパーリンク" xfId="192" builtinId="9" hidden="1"/>
    <cellStyle name="表示済みのハイパーリンク" xfId="193" builtinId="9" hidden="1"/>
    <cellStyle name="表示済みのハイパーリンク" xfId="194" builtinId="9" hidden="1"/>
    <cellStyle name="表示済みのハイパーリンク" xfId="195" builtinId="9" hidden="1"/>
    <cellStyle name="表示済みのハイパーリンク" xfId="196" builtinId="9" hidden="1"/>
    <cellStyle name="表示済みのハイパーリンク" xfId="197" builtinId="9" hidden="1"/>
    <cellStyle name="表示済みのハイパーリンク" xfId="198" builtinId="9" hidden="1"/>
    <cellStyle name="表示済みのハイパーリンク" xfId="199" builtinId="9" hidden="1"/>
    <cellStyle name="表示済みのハイパーリンク" xfId="200" builtinId="9" hidden="1"/>
    <cellStyle name="表示済みのハイパーリンク" xfId="201" builtinId="9" hidden="1"/>
    <cellStyle name="表示済みのハイパーリンク" xfId="202" builtinId="9" hidden="1"/>
    <cellStyle name="表示済みのハイパーリンク" xfId="203" builtinId="9" hidden="1"/>
    <cellStyle name="表示済みのハイパーリンク" xfId="204" builtinId="9" hidden="1"/>
    <cellStyle name="表示済みのハイパーリンク" xfId="205" builtinId="9" hidden="1"/>
    <cellStyle name="表示済みのハイパーリンク" xfId="206" builtinId="9" hidden="1"/>
    <cellStyle name="表示済みのハイパーリンク" xfId="207" builtinId="9" hidden="1"/>
    <cellStyle name="表示済みのハイパーリンク" xfId="208" builtinId="9" hidden="1"/>
    <cellStyle name="表示済みのハイパーリンク" xfId="209" builtinId="9" hidden="1"/>
    <cellStyle name="表示済みのハイパーリンク" xfId="210" builtinId="9" hidden="1"/>
    <cellStyle name="表示済みのハイパーリンク" xfId="211" builtinId="9" hidden="1"/>
    <cellStyle name="表示済みのハイパーリンク" xfId="212" builtinId="9" hidden="1"/>
    <cellStyle name="表示済みのハイパーリンク" xfId="213" builtinId="9" hidden="1"/>
    <cellStyle name="表示済みのハイパーリンク" xfId="214" builtinId="9" hidden="1"/>
    <cellStyle name="表示済みのハイパーリンク" xfId="215" builtinId="9" hidden="1"/>
    <cellStyle name="表示済みのハイパーリンク" xfId="216" builtinId="9" hidden="1"/>
    <cellStyle name="表示済みのハイパーリンク" xfId="217" builtinId="9" hidden="1"/>
    <cellStyle name="表示済みのハイパーリンク" xfId="218" builtinId="9" hidden="1"/>
    <cellStyle name="表示済みのハイパーリンク" xfId="219" builtinId="9" hidden="1"/>
    <cellStyle name="表示済みのハイパーリンク" xfId="220" builtinId="9" hidden="1"/>
    <cellStyle name="表示済みのハイパーリンク" xfId="221" builtinId="9" hidden="1"/>
    <cellStyle name="表示済みのハイパーリンク" xfId="222" builtinId="9" hidden="1"/>
    <cellStyle name="表示済みのハイパーリンク" xfId="223" builtinId="9" hidden="1"/>
    <cellStyle name="表示済みのハイパーリンク" xfId="224" builtinId="9" hidden="1"/>
    <cellStyle name="表示済みのハイパーリンク" xfId="225" builtinId="9" hidden="1"/>
    <cellStyle name="表示済みのハイパーリンク" xfId="226" builtinId="9" hidden="1"/>
    <cellStyle name="表示済みのハイパーリンク" xfId="227" builtinId="9" hidden="1"/>
    <cellStyle name="表示済みのハイパーリンク" xfId="228" builtinId="9" hidden="1"/>
    <cellStyle name="表示済みのハイパーリンク" xfId="229" builtinId="9" hidden="1"/>
    <cellStyle name="表示済みのハイパーリンク" xfId="230" builtinId="9" hidden="1"/>
    <cellStyle name="表示済みのハイパーリンク" xfId="231" builtinId="9" hidden="1"/>
    <cellStyle name="表示済みのハイパーリンク" xfId="232" builtinId="9" hidden="1"/>
    <cellStyle name="表示済みのハイパーリンク" xfId="233" builtinId="9" hidden="1"/>
    <cellStyle name="表示済みのハイパーリンク" xfId="234" builtinId="9" hidden="1"/>
    <cellStyle name="表示済みのハイパーリンク" xfId="235" builtinId="9" hidden="1"/>
    <cellStyle name="表示済みのハイパーリンク" xfId="236" builtinId="9" hidden="1"/>
    <cellStyle name="表示済みのハイパーリンク" xfId="237" builtinId="9" hidden="1"/>
    <cellStyle name="表示済みのハイパーリンク" xfId="238" builtinId="9" hidden="1"/>
    <cellStyle name="表示済みのハイパーリンク" xfId="239" builtinId="9" hidden="1"/>
    <cellStyle name="表示済みのハイパーリンク" xfId="240" builtinId="9" hidden="1"/>
    <cellStyle name="表示済みのハイパーリンク" xfId="241" builtinId="9" hidden="1"/>
    <cellStyle name="表示済みのハイパーリンク" xfId="242" builtinId="9" hidden="1"/>
    <cellStyle name="表示済みのハイパーリンク" xfId="243" builtinId="9" hidden="1"/>
    <cellStyle name="表示済みのハイパーリンク" xfId="244" builtinId="9" hidden="1"/>
    <cellStyle name="表示済みのハイパーリンク" xfId="245" builtinId="9" hidden="1"/>
    <cellStyle name="表示済みのハイパーリンク" xfId="246" builtinId="9" hidden="1"/>
    <cellStyle name="表示済みのハイパーリンク" xfId="247" builtinId="9" hidden="1"/>
    <cellStyle name="表示済みのハイパーリンク" xfId="248" builtinId="9" hidden="1"/>
    <cellStyle name="表示済みのハイパーリンク" xfId="249" builtinId="9" hidden="1"/>
    <cellStyle name="表示済みのハイパーリンク" xfId="250" builtinId="9" hidden="1"/>
    <cellStyle name="表示済みのハイパーリンク" xfId="251" builtinId="9" hidden="1"/>
    <cellStyle name="表示済みのハイパーリンク" xfId="252" builtinId="9" hidden="1"/>
    <cellStyle name="表示済みのハイパーリンク" xfId="253" builtinId="9" hidden="1"/>
    <cellStyle name="表示済みのハイパーリンク" xfId="254" builtinId="9" hidden="1"/>
    <cellStyle name="表示済みのハイパーリンク" xfId="255" builtinId="9" hidden="1"/>
    <cellStyle name="表示済みのハイパーリンク" xfId="256" builtinId="9" hidden="1"/>
    <cellStyle name="表示済みのハイパーリンク" xfId="257" builtinId="9" hidden="1"/>
    <cellStyle name="表示済みのハイパーリンク" xfId="258" builtinId="9" hidden="1"/>
    <cellStyle name="表示済みのハイパーリンク" xfId="259" builtinId="9" hidden="1"/>
    <cellStyle name="表示済みのハイパーリンク" xfId="260" builtinId="9" hidden="1"/>
    <cellStyle name="表示済みのハイパーリンク" xfId="261" builtinId="9" hidden="1"/>
    <cellStyle name="表示済みのハイパーリンク" xfId="262" builtinId="9" hidden="1"/>
    <cellStyle name="表示済みのハイパーリンク" xfId="263" builtinId="9" hidden="1"/>
    <cellStyle name="表示済みのハイパーリンク" xfId="264" builtinId="9" hidden="1"/>
    <cellStyle name="表示済みのハイパーリンク" xfId="265" builtinId="9" hidden="1"/>
    <cellStyle name="表示済みのハイパーリンク" xfId="266" builtinId="9" hidden="1"/>
    <cellStyle name="表示済みのハイパーリンク" xfId="267" builtinId="9" hidden="1"/>
    <cellStyle name="表示済みのハイパーリンク" xfId="268" builtinId="9" hidden="1"/>
    <cellStyle name="表示済みのハイパーリンク" xfId="269" builtinId="9" hidden="1"/>
    <cellStyle name="表示済みのハイパーリンク" xfId="270" builtinId="9" hidden="1"/>
    <cellStyle name="表示済みのハイパーリンク" xfId="271" builtinId="9" hidden="1"/>
    <cellStyle name="表示済みのハイパーリンク" xfId="272" builtinId="9" hidden="1"/>
    <cellStyle name="表示済みのハイパーリンク" xfId="273" builtinId="9" hidden="1"/>
    <cellStyle name="表示済みのハイパーリンク" xfId="274" builtinId="9" hidden="1"/>
    <cellStyle name="表示済みのハイパーリンク" xfId="275" builtinId="9" hidden="1"/>
    <cellStyle name="表示済みのハイパーリンク" xfId="276" builtinId="9" hidden="1"/>
    <cellStyle name="表示済みのハイパーリンク" xfId="277" builtinId="9" hidden="1"/>
    <cellStyle name="表示済みのハイパーリンク" xfId="278" builtinId="9" hidden="1"/>
    <cellStyle name="表示済みのハイパーリンク" xfId="279" builtinId="9" hidden="1"/>
    <cellStyle name="表示済みのハイパーリンク" xfId="280" builtinId="9" hidden="1"/>
    <cellStyle name="表示済みのハイパーリンク" xfId="281" builtinId="9" hidden="1"/>
    <cellStyle name="表示済みのハイパーリンク" xfId="282" builtinId="9" hidden="1"/>
    <cellStyle name="表示済みのハイパーリンク" xfId="283" builtinId="9" hidden="1"/>
    <cellStyle name="表示済みのハイパーリンク" xfId="284" builtinId="9" hidden="1"/>
    <cellStyle name="表示済みのハイパーリンク" xfId="285" builtinId="9" hidden="1"/>
    <cellStyle name="表示済みのハイパーリンク" xfId="286" builtinId="9" hidden="1"/>
    <cellStyle name="表示済みのハイパーリンク" xfId="287" builtinId="9" hidden="1"/>
    <cellStyle name="表示済みのハイパーリンク" xfId="288" builtinId="9" hidden="1"/>
    <cellStyle name="表示済みのハイパーリンク" xfId="289" builtinId="9" hidden="1"/>
    <cellStyle name="表示済みのハイパーリンク" xfId="290" builtinId="9" hidden="1"/>
    <cellStyle name="表示済みのハイパーリンク" xfId="291" builtinId="9" hidden="1"/>
    <cellStyle name="表示済みのハイパーリンク" xfId="292" builtinId="9" hidden="1"/>
    <cellStyle name="表示済みのハイパーリンク" xfId="293" builtinId="9" hidden="1"/>
    <cellStyle name="表示済みのハイパーリンク" xfId="294" builtinId="9" hidden="1"/>
    <cellStyle name="表示済みのハイパーリンク" xfId="295" builtinId="9" hidden="1"/>
    <cellStyle name="表示済みのハイパーリンク" xfId="296" builtinId="9" hidden="1"/>
    <cellStyle name="表示済みのハイパーリンク" xfId="297" builtinId="9" hidden="1"/>
    <cellStyle name="表示済みのハイパーリンク" xfId="298" builtinId="9" hidden="1"/>
    <cellStyle name="表示済みのハイパーリンク" xfId="299" builtinId="9" hidden="1"/>
    <cellStyle name="表示済みのハイパーリンク" xfId="300" builtinId="9" hidden="1"/>
    <cellStyle name="表示済みのハイパーリンク" xfId="301" builtinId="9" hidden="1"/>
    <cellStyle name="表示済みのハイパーリンク" xfId="302" builtinId="9" hidden="1"/>
    <cellStyle name="表示済みのハイパーリンク" xfId="303" builtinId="9" hidden="1"/>
    <cellStyle name="表示済みのハイパーリンク" xfId="304" builtinId="9" hidden="1"/>
    <cellStyle name="表示済みのハイパーリンク" xfId="305" builtinId="9" hidden="1"/>
    <cellStyle name="表示済みのハイパーリンク" xfId="306" builtinId="9" hidden="1"/>
    <cellStyle name="表示済みのハイパーリンク" xfId="307" builtinId="9" hidden="1"/>
    <cellStyle name="表示済みのハイパーリンク" xfId="308" builtinId="9" hidden="1"/>
    <cellStyle name="表示済みのハイパーリンク" xfId="309" builtinId="9" hidden="1"/>
    <cellStyle name="表示済みのハイパーリンク" xfId="310" builtinId="9" hidden="1"/>
    <cellStyle name="表示済みのハイパーリンク" xfId="311" builtinId="9" hidden="1"/>
    <cellStyle name="表示済みのハイパーリンク" xfId="312" builtinId="9" hidden="1"/>
    <cellStyle name="表示済みのハイパーリンク" xfId="313" builtinId="9" hidden="1"/>
    <cellStyle name="表示済みのハイパーリンク" xfId="314" builtinId="9" hidden="1"/>
    <cellStyle name="表示済みのハイパーリンク" xfId="315" builtinId="9" hidden="1"/>
    <cellStyle name="表示済みのハイパーリンク" xfId="316" builtinId="9" hidden="1"/>
    <cellStyle name="表示済みのハイパーリンク" xfId="317" builtinId="9" hidden="1"/>
    <cellStyle name="表示済みのハイパーリンク" xfId="318" builtinId="9" hidden="1"/>
    <cellStyle name="表示済みのハイパーリンク" xfId="319" builtinId="9" hidden="1"/>
    <cellStyle name="表示済みのハイパーリンク" xfId="320" builtinId="9" hidden="1"/>
    <cellStyle name="表示済みのハイパーリンク" xfId="321" builtinId="9" hidden="1"/>
    <cellStyle name="表示済みのハイパーリンク" xfId="322" builtinId="9" hidden="1"/>
    <cellStyle name="表示済みのハイパーリンク" xfId="323" builtinId="9" hidden="1"/>
    <cellStyle name="表示済みのハイパーリンク" xfId="324" builtinId="9" hidden="1"/>
    <cellStyle name="表示済みのハイパーリンク" xfId="325" builtinId="9" hidden="1"/>
    <cellStyle name="表示済みのハイパーリンク" xfId="326" builtinId="9" hidden="1"/>
    <cellStyle name="表示済みのハイパーリンク" xfId="327" builtinId="9" hidden="1"/>
    <cellStyle name="表示済みのハイパーリンク" xfId="328" builtinId="9" hidden="1"/>
    <cellStyle name="表示済みのハイパーリンク" xfId="329" builtinId="9" hidden="1"/>
    <cellStyle name="表示済みのハイパーリンク" xfId="330" builtinId="9" hidden="1"/>
    <cellStyle name="表示済みのハイパーリンク" xfId="331" builtinId="9" hidden="1"/>
    <cellStyle name="表示済みのハイパーリンク" xfId="332" builtinId="9" hidden="1"/>
    <cellStyle name="表示済みのハイパーリンク" xfId="333" builtinId="9" hidden="1"/>
    <cellStyle name="表示済みのハイパーリンク" xfId="334" builtinId="9" hidden="1"/>
    <cellStyle name="表示済みのハイパーリンク" xfId="335" builtinId="9" hidden="1"/>
    <cellStyle name="表示済みのハイパーリンク" xfId="336" builtinId="9" hidden="1"/>
    <cellStyle name="表示済みのハイパーリンク" xfId="337" builtinId="9" hidden="1"/>
    <cellStyle name="表示済みのハイパーリンク" xfId="338" builtinId="9" hidden="1"/>
    <cellStyle name="表示済みのハイパーリンク" xfId="339" builtinId="9" hidden="1"/>
    <cellStyle name="表示済みのハイパーリンク" xfId="340" builtinId="9" hidden="1"/>
    <cellStyle name="表示済みのハイパーリンク" xfId="341" builtinId="9" hidden="1"/>
    <cellStyle name="表示済みのハイパーリンク" xfId="342" builtinId="9" hidden="1"/>
    <cellStyle name="表示済みのハイパーリンク" xfId="343" builtinId="9" hidden="1"/>
    <cellStyle name="表示済みのハイパーリンク" xfId="344" builtinId="9" hidden="1"/>
    <cellStyle name="表示済みのハイパーリンク" xfId="345" builtinId="9" hidden="1"/>
    <cellStyle name="表示済みのハイパーリンク" xfId="346" builtinId="9" hidden="1"/>
    <cellStyle name="表示済みのハイパーリンク" xfId="347" builtinId="9" hidden="1"/>
    <cellStyle name="表示済みのハイパーリンク" xfId="348" builtinId="9" hidden="1"/>
    <cellStyle name="表示済みのハイパーリンク" xfId="349" builtinId="9" hidden="1"/>
    <cellStyle name="表示済みのハイパーリンク" xfId="350" builtinId="9" hidden="1"/>
    <cellStyle name="表示済みのハイパーリンク" xfId="351" builtinId="9" hidden="1"/>
    <cellStyle name="表示済みのハイパーリンク" xfId="352" builtinId="9" hidden="1"/>
    <cellStyle name="表示済みのハイパーリンク" xfId="353" builtinId="9" hidden="1"/>
    <cellStyle name="表示済みのハイパーリンク" xfId="354" builtinId="9" hidden="1"/>
    <cellStyle name="表示済みのハイパーリンク" xfId="355" builtinId="9" hidden="1"/>
    <cellStyle name="表示済みのハイパーリンク" xfId="356" builtinId="9" hidden="1"/>
    <cellStyle name="表示済みのハイパーリンク" xfId="357" builtinId="9" hidden="1"/>
    <cellStyle name="表示済みのハイパーリンク" xfId="358" builtinId="9" hidden="1"/>
    <cellStyle name="表示済みのハイパーリンク" xfId="359" builtinId="9" hidden="1"/>
    <cellStyle name="表示済みのハイパーリンク" xfId="360" builtinId="9" hidden="1"/>
    <cellStyle name="表示済みのハイパーリンク" xfId="361" builtinId="9" hidden="1"/>
    <cellStyle name="表示済みのハイパーリンク" xfId="362" builtinId="9" hidden="1"/>
    <cellStyle name="表示済みのハイパーリンク" xfId="363" builtinId="9" hidden="1"/>
    <cellStyle name="表示済みのハイパーリンク" xfId="364" builtinId="9" hidden="1"/>
    <cellStyle name="表示済みのハイパーリンク" xfId="365" builtinId="9" hidden="1"/>
    <cellStyle name="表示済みのハイパーリンク" xfId="366" builtinId="9" hidden="1"/>
    <cellStyle name="表示済みのハイパーリンク" xfId="367" builtinId="9" hidden="1"/>
    <cellStyle name="表示済みのハイパーリンク" xfId="368" builtinId="9" hidden="1"/>
    <cellStyle name="表示済みのハイパーリンク" xfId="369" builtinId="9" hidden="1"/>
    <cellStyle name="表示済みのハイパーリンク" xfId="370" builtinId="9" hidden="1"/>
    <cellStyle name="表示済みのハイパーリンク" xfId="371" builtinId="9" hidden="1"/>
    <cellStyle name="表示済みのハイパーリンク" xfId="372" builtinId="9" hidden="1"/>
    <cellStyle name="表示済みのハイパーリンク" xfId="373" builtinId="9" hidden="1"/>
    <cellStyle name="表示済みのハイパーリンク" xfId="374" builtinId="9" hidden="1"/>
    <cellStyle name="表示済みのハイパーリンク" xfId="375" builtinId="9" hidden="1"/>
    <cellStyle name="表示済みのハイパーリンク" xfId="376" builtinId="9" hidden="1"/>
    <cellStyle name="表示済みのハイパーリンク" xfId="377" builtinId="9" hidden="1"/>
    <cellStyle name="表示済みのハイパーリンク" xfId="378" builtinId="9" hidden="1"/>
    <cellStyle name="表示済みのハイパーリンク" xfId="379" builtinId="9" hidden="1"/>
    <cellStyle name="表示済みのハイパーリンク" xfId="380" builtinId="9" hidden="1"/>
    <cellStyle name="表示済みのハイパーリンク" xfId="381" builtinId="9" hidden="1"/>
    <cellStyle name="表示済みのハイパーリンク" xfId="382" builtinId="9" hidden="1"/>
    <cellStyle name="表示済みのハイパーリンク" xfId="383" builtinId="9" hidden="1"/>
    <cellStyle name="表示済みのハイパーリンク" xfId="384" builtinId="9" hidden="1"/>
    <cellStyle name="表示済みのハイパーリンク" xfId="385" builtinId="9" hidden="1"/>
    <cellStyle name="表示済みのハイパーリンク" xfId="386" builtinId="9" hidden="1"/>
    <cellStyle name="表示済みのハイパーリンク" xfId="387" builtinId="9" hidden="1"/>
    <cellStyle name="表示済みのハイパーリンク" xfId="388" builtinId="9" hidden="1"/>
    <cellStyle name="表示済みのハイパーリンク" xfId="389" builtinId="9" hidden="1"/>
    <cellStyle name="表示済みのハイパーリンク" xfId="390" builtinId="9" hidden="1"/>
    <cellStyle name="表示済みのハイパーリンク" xfId="391" builtinId="9" hidden="1"/>
    <cellStyle name="表示済みのハイパーリンク" xfId="392" builtinId="9" hidden="1"/>
    <cellStyle name="表示済みのハイパーリンク" xfId="393" builtinId="9" hidden="1"/>
    <cellStyle name="表示済みのハイパーリンク" xfId="394" builtinId="9" hidden="1"/>
    <cellStyle name="表示済みのハイパーリンク" xfId="395" builtinId="9" hidden="1"/>
    <cellStyle name="表示済みのハイパーリンク" xfId="396" builtinId="9" hidden="1"/>
    <cellStyle name="表示済みのハイパーリンク" xfId="397" builtinId="9" hidden="1"/>
    <cellStyle name="表示済みのハイパーリンク" xfId="398" builtinId="9" hidden="1"/>
    <cellStyle name="表示済みのハイパーリンク" xfId="399" builtinId="9" hidden="1"/>
    <cellStyle name="表示済みのハイパーリンク" xfId="400" builtinId="9" hidden="1"/>
    <cellStyle name="表示済みのハイパーリンク" xfId="401" builtinId="9" hidden="1"/>
    <cellStyle name="表示済みのハイパーリンク" xfId="402" builtinId="9" hidden="1"/>
    <cellStyle name="表示済みのハイパーリンク" xfId="403" builtinId="9" hidden="1"/>
    <cellStyle name="表示済みのハイパーリンク" xfId="404" builtinId="9" hidden="1"/>
    <cellStyle name="表示済みのハイパーリンク" xfId="405" builtinId="9" hidden="1"/>
    <cellStyle name="表示済みのハイパーリンク" xfId="406" builtinId="9" hidden="1"/>
    <cellStyle name="表示済みのハイパーリンク" xfId="407" builtinId="9" hidden="1"/>
    <cellStyle name="表示済みのハイパーリンク" xfId="408" builtinId="9" hidden="1"/>
    <cellStyle name="表示済みのハイパーリンク" xfId="409" builtinId="9" hidden="1"/>
    <cellStyle name="表示済みのハイパーリンク" xfId="410" builtinId="9" hidden="1"/>
    <cellStyle name="表示済みのハイパーリンク" xfId="411" builtinId="9" hidden="1"/>
    <cellStyle name="表示済みのハイパーリンク" xfId="412" builtinId="9" hidden="1"/>
    <cellStyle name="表示済みのハイパーリンク" xfId="413" builtinId="9" hidden="1"/>
    <cellStyle name="表示済みのハイパーリンク" xfId="414" builtinId="9" hidden="1"/>
    <cellStyle name="表示済みのハイパーリンク" xfId="415" builtinId="9" hidden="1"/>
    <cellStyle name="表示済みのハイパーリンク" xfId="416" builtinId="9" hidden="1"/>
    <cellStyle name="表示済みのハイパーリンク" xfId="417" builtinId="9" hidden="1"/>
    <cellStyle name="表示済みのハイパーリンク" xfId="418" builtinId="9" hidden="1"/>
    <cellStyle name="表示済みのハイパーリンク" xfId="419" builtinId="9" hidden="1"/>
    <cellStyle name="表示済みのハイパーリンク" xfId="420" builtinId="9" hidden="1"/>
    <cellStyle name="表示済みのハイパーリンク" xfId="421" builtinId="9" hidden="1"/>
    <cellStyle name="表示済みのハイパーリンク" xfId="422" builtinId="9" hidden="1"/>
    <cellStyle name="良い" xfId="48"/>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6121400</xdr:colOff>
      <xdr:row>77</xdr:row>
      <xdr:rowOff>12700</xdr:rowOff>
    </xdr:from>
    <xdr:to>
      <xdr:col>8</xdr:col>
      <xdr:colOff>6146800</xdr:colOff>
      <xdr:row>99</xdr:row>
      <xdr:rowOff>12700</xdr:rowOff>
    </xdr:to>
    <xdr:cxnSp macro="">
      <xdr:nvCxnSpPr>
        <xdr:cNvPr id="5" name="直線矢印コネクタ 4"/>
        <xdr:cNvCxnSpPr/>
      </xdr:nvCxnSpPr>
      <xdr:spPr>
        <a:xfrm>
          <a:off x="10985500" y="2171700"/>
          <a:ext cx="25400" cy="4902200"/>
        </a:xfrm>
        <a:prstGeom prst="straightConnector1">
          <a:avLst/>
        </a:prstGeom>
        <a:ln w="6350" cmpd="sng">
          <a:solidFill>
            <a:srgbClr val="000000"/>
          </a:solidFill>
          <a:headEnd type="arrow"/>
          <a:tailEnd type="arrow"/>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5232400</xdr:colOff>
      <xdr:row>88</xdr:row>
      <xdr:rowOff>127000</xdr:rowOff>
    </xdr:from>
    <xdr:to>
      <xdr:col>10</xdr:col>
      <xdr:colOff>304800</xdr:colOff>
      <xdr:row>91</xdr:row>
      <xdr:rowOff>355600</xdr:rowOff>
    </xdr:to>
    <xdr:sp macro="" textlink="">
      <xdr:nvSpPr>
        <xdr:cNvPr id="6" name="角丸四角形 5"/>
        <xdr:cNvSpPr/>
      </xdr:nvSpPr>
      <xdr:spPr>
        <a:xfrm>
          <a:off x="10096500" y="10452100"/>
          <a:ext cx="1955800" cy="876300"/>
        </a:xfrm>
        <a:prstGeom prst="roundRect">
          <a:avLst/>
        </a:prstGeom>
        <a:solidFill>
          <a:schemeClr val="bg1"/>
        </a:solidFill>
        <a:ln w="9525" cmpd="sng">
          <a:solidFill>
            <a:schemeClr val="tx1"/>
          </a:solidFill>
        </a:ln>
        <a:effectLst/>
      </xdr:spPr>
      <xdr:style>
        <a:lnRef idx="2">
          <a:schemeClr val="accent1"/>
        </a:lnRef>
        <a:fillRef idx="0">
          <a:schemeClr val="accent1"/>
        </a:fillRef>
        <a:effectRef idx="1">
          <a:schemeClr val="accent1"/>
        </a:effectRef>
        <a:fontRef idx="minor">
          <a:schemeClr val="tx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工事費を自動計算する場合、必須入力</a:t>
          </a:r>
          <a:endParaRPr kumimoji="1" lang="en-US" altLang="ja-JP" sz="1100"/>
        </a:p>
        <a:p>
          <a:pPr algn="l"/>
          <a:r>
            <a:rPr kumimoji="1" lang="en-US" altLang="ja-JP" sz="1100"/>
            <a:t>→</a:t>
          </a:r>
          <a:r>
            <a:rPr kumimoji="1" lang="ja-JP" altLang="en-US" sz="1100"/>
            <a:t>計算結果は工事費自動計算結果エリアに表示</a:t>
          </a:r>
        </a:p>
      </xdr:txBody>
    </xdr:sp>
    <xdr:clientData/>
  </xdr:twoCellAnchor>
  <xdr:twoCellAnchor>
    <xdr:from>
      <xdr:col>8</xdr:col>
      <xdr:colOff>1790700</xdr:colOff>
      <xdr:row>33</xdr:row>
      <xdr:rowOff>50800</xdr:rowOff>
    </xdr:from>
    <xdr:to>
      <xdr:col>8</xdr:col>
      <xdr:colOff>2032000</xdr:colOff>
      <xdr:row>36</xdr:row>
      <xdr:rowOff>76200</xdr:rowOff>
    </xdr:to>
    <xdr:sp macro="" textlink="">
      <xdr:nvSpPr>
        <xdr:cNvPr id="2" name="右中かっこ 1"/>
        <xdr:cNvSpPr/>
      </xdr:nvSpPr>
      <xdr:spPr>
        <a:xfrm>
          <a:off x="6654800" y="17043400"/>
          <a:ext cx="241300" cy="673100"/>
        </a:xfrm>
        <a:prstGeom prst="rightBrace">
          <a:avLst/>
        </a:prstGeom>
        <a:ln w="6350" cmpd="sng">
          <a:solidFill>
            <a:srgbClr val="000000"/>
          </a:solidFill>
          <a:headEnd type="none"/>
          <a:tailEnd type="none"/>
        </a:ln>
        <a:effectLst/>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2082800</xdr:colOff>
      <xdr:row>33</xdr:row>
      <xdr:rowOff>139700</xdr:rowOff>
    </xdr:from>
    <xdr:to>
      <xdr:col>8</xdr:col>
      <xdr:colOff>4953000</xdr:colOff>
      <xdr:row>35</xdr:row>
      <xdr:rowOff>203200</xdr:rowOff>
    </xdr:to>
    <xdr:sp macro="" textlink="">
      <xdr:nvSpPr>
        <xdr:cNvPr id="7" name="角丸四角形 6"/>
        <xdr:cNvSpPr/>
      </xdr:nvSpPr>
      <xdr:spPr>
        <a:xfrm>
          <a:off x="6946900" y="16383000"/>
          <a:ext cx="2870200" cy="495300"/>
        </a:xfrm>
        <a:prstGeom prst="roundRect">
          <a:avLst/>
        </a:prstGeom>
        <a:solidFill>
          <a:schemeClr val="bg1"/>
        </a:solidFill>
        <a:ln w="9525" cmpd="sng">
          <a:solidFill>
            <a:schemeClr val="tx1"/>
          </a:solidFill>
        </a:ln>
        <a:effectLst/>
      </xdr:spPr>
      <xdr:style>
        <a:lnRef idx="2">
          <a:schemeClr val="accent1"/>
        </a:lnRef>
        <a:fillRef idx="0">
          <a:schemeClr val="accent1"/>
        </a:fillRef>
        <a:effectRef idx="1">
          <a:schemeClr val="accent1"/>
        </a:effectRef>
        <a:fontRef idx="minor">
          <a:schemeClr val="tx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業務発生確率</a:t>
          </a:r>
          <a:r>
            <a:rPr kumimoji="1" lang="en-US" altLang="ja-JP" sz="1100"/>
            <a:t>(</a:t>
          </a:r>
          <a:r>
            <a:rPr kumimoji="1" lang="ja-JP" altLang="en-US" sz="1100"/>
            <a:t>小水力運用シートで入力する</a:t>
          </a:r>
          <a:r>
            <a:rPr kumimoji="1" lang="en-US" altLang="ja-JP" sz="1100"/>
            <a:t>)</a:t>
          </a:r>
          <a:r>
            <a:rPr kumimoji="1" lang="ja-JP" altLang="en-US" sz="1100"/>
            <a:t>と共にメンテナンス料の算出に使用</a:t>
          </a:r>
        </a:p>
      </xdr:txBody>
    </xdr:sp>
    <xdr:clientData/>
  </xdr:twoCellAnchor>
  <xdr:twoCellAnchor>
    <xdr:from>
      <xdr:col>8</xdr:col>
      <xdr:colOff>25400</xdr:colOff>
      <xdr:row>86</xdr:row>
      <xdr:rowOff>25400</xdr:rowOff>
    </xdr:from>
    <xdr:to>
      <xdr:col>8</xdr:col>
      <xdr:colOff>152400</xdr:colOff>
      <xdr:row>88</xdr:row>
      <xdr:rowOff>177800</xdr:rowOff>
    </xdr:to>
    <xdr:sp macro="" textlink="">
      <xdr:nvSpPr>
        <xdr:cNvPr id="3" name="右中かっこ 2"/>
        <xdr:cNvSpPr/>
      </xdr:nvSpPr>
      <xdr:spPr>
        <a:xfrm>
          <a:off x="4889500" y="4127500"/>
          <a:ext cx="127000" cy="584200"/>
        </a:xfrm>
        <a:prstGeom prst="rightBrace">
          <a:avLst/>
        </a:prstGeom>
        <a:ln w="6350" cmpd="sng">
          <a:solidFill>
            <a:srgbClr val="000000"/>
          </a:solidFill>
          <a:headEnd type="none"/>
          <a:tailEnd type="none"/>
        </a:ln>
        <a:effectLst/>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8</xdr:col>
      <xdr:colOff>5384800</xdr:colOff>
      <xdr:row>0</xdr:row>
      <xdr:rowOff>76200</xdr:rowOff>
    </xdr:from>
    <xdr:to>
      <xdr:col>8</xdr:col>
      <xdr:colOff>6477000</xdr:colOff>
      <xdr:row>2</xdr:row>
      <xdr:rowOff>145812</xdr:rowOff>
    </xdr:to>
    <xdr:pic>
      <xdr:nvPicPr>
        <xdr:cNvPr id="9" name="図 8"/>
        <xdr:cNvPicPr>
          <a:picLocks noChangeAspect="1"/>
        </xdr:cNvPicPr>
      </xdr:nvPicPr>
      <xdr:blipFill>
        <a:blip xmlns:r="http://schemas.openxmlformats.org/officeDocument/2006/relationships" r:embed="rId1"/>
        <a:stretch>
          <a:fillRect/>
        </a:stretch>
      </xdr:blipFill>
      <xdr:spPr>
        <a:xfrm>
          <a:off x="10248900" y="76200"/>
          <a:ext cx="1092200" cy="679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0</xdr:colOff>
      <xdr:row>0</xdr:row>
      <xdr:rowOff>54429</xdr:rowOff>
    </xdr:from>
    <xdr:to>
      <xdr:col>27</xdr:col>
      <xdr:colOff>1092200</xdr:colOff>
      <xdr:row>0</xdr:row>
      <xdr:rowOff>733641</xdr:rowOff>
    </xdr:to>
    <xdr:pic>
      <xdr:nvPicPr>
        <xdr:cNvPr id="2" name="図 1"/>
        <xdr:cNvPicPr>
          <a:picLocks noChangeAspect="1"/>
        </xdr:cNvPicPr>
      </xdr:nvPicPr>
      <xdr:blipFill>
        <a:blip xmlns:r="http://schemas.openxmlformats.org/officeDocument/2006/relationships" r:embed="rId1"/>
        <a:stretch>
          <a:fillRect/>
        </a:stretch>
      </xdr:blipFill>
      <xdr:spPr>
        <a:xfrm>
          <a:off x="27758571" y="54429"/>
          <a:ext cx="1092200" cy="6792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977900</xdr:colOff>
      <xdr:row>0</xdr:row>
      <xdr:rowOff>38100</xdr:rowOff>
    </xdr:from>
    <xdr:to>
      <xdr:col>24</xdr:col>
      <xdr:colOff>25400</xdr:colOff>
      <xdr:row>1</xdr:row>
      <xdr:rowOff>425212</xdr:rowOff>
    </xdr:to>
    <xdr:pic>
      <xdr:nvPicPr>
        <xdr:cNvPr id="2" name="図 1"/>
        <xdr:cNvPicPr>
          <a:picLocks noChangeAspect="1"/>
        </xdr:cNvPicPr>
      </xdr:nvPicPr>
      <xdr:blipFill>
        <a:blip xmlns:r="http://schemas.openxmlformats.org/officeDocument/2006/relationships" r:embed="rId1"/>
        <a:stretch>
          <a:fillRect/>
        </a:stretch>
      </xdr:blipFill>
      <xdr:spPr>
        <a:xfrm>
          <a:off x="24790400" y="38100"/>
          <a:ext cx="1092200" cy="6792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23</xdr:col>
      <xdr:colOff>169333</xdr:colOff>
      <xdr:row>0</xdr:row>
      <xdr:rowOff>50800</xdr:rowOff>
    </xdr:from>
    <xdr:to>
      <xdr:col>23</xdr:col>
      <xdr:colOff>1261533</xdr:colOff>
      <xdr:row>0</xdr:row>
      <xdr:rowOff>734246</xdr:rowOff>
    </xdr:to>
    <xdr:pic>
      <xdr:nvPicPr>
        <xdr:cNvPr id="2" name="図 1"/>
        <xdr:cNvPicPr>
          <a:picLocks noChangeAspect="1"/>
        </xdr:cNvPicPr>
      </xdr:nvPicPr>
      <xdr:blipFill>
        <a:blip xmlns:r="http://schemas.openxmlformats.org/officeDocument/2006/relationships" r:embed="rId1"/>
        <a:stretch>
          <a:fillRect/>
        </a:stretch>
      </xdr:blipFill>
      <xdr:spPr>
        <a:xfrm>
          <a:off x="30632400" y="50800"/>
          <a:ext cx="1092200" cy="6792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44817</xdr:colOff>
      <xdr:row>0</xdr:row>
      <xdr:rowOff>14941</xdr:rowOff>
    </xdr:from>
    <xdr:to>
      <xdr:col>12</xdr:col>
      <xdr:colOff>16429</xdr:colOff>
      <xdr:row>15</xdr:row>
      <xdr:rowOff>111447</xdr:rowOff>
    </xdr:to>
    <xdr:pic>
      <xdr:nvPicPr>
        <xdr:cNvPr id="2" name="図 1"/>
        <xdr:cNvPicPr>
          <a:picLocks noChangeAspect="1"/>
        </xdr:cNvPicPr>
      </xdr:nvPicPr>
      <xdr:blipFill>
        <a:blip xmlns:r="http://schemas.openxmlformats.org/officeDocument/2006/relationships" r:embed="rId1"/>
        <a:stretch>
          <a:fillRect/>
        </a:stretch>
      </xdr:blipFill>
      <xdr:spPr>
        <a:xfrm>
          <a:off x="12027641" y="14941"/>
          <a:ext cx="1092200" cy="6792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883920</xdr:colOff>
      <xdr:row>0</xdr:row>
      <xdr:rowOff>0</xdr:rowOff>
    </xdr:from>
    <xdr:to>
      <xdr:col>23</xdr:col>
      <xdr:colOff>980440</xdr:colOff>
      <xdr:row>1</xdr:row>
      <xdr:rowOff>336312</xdr:rowOff>
    </xdr:to>
    <xdr:pic>
      <xdr:nvPicPr>
        <xdr:cNvPr id="2" name="図 1"/>
        <xdr:cNvPicPr>
          <a:picLocks noChangeAspect="1"/>
        </xdr:cNvPicPr>
      </xdr:nvPicPr>
      <xdr:blipFill>
        <a:blip xmlns:r="http://schemas.openxmlformats.org/officeDocument/2006/relationships" r:embed="rId1"/>
        <a:stretch>
          <a:fillRect/>
        </a:stretch>
      </xdr:blipFill>
      <xdr:spPr>
        <a:xfrm>
          <a:off x="23713440" y="0"/>
          <a:ext cx="1092200" cy="67921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6350" cmpd="sng">
          <a:solidFill>
            <a:srgbClr val="000000"/>
          </a:solidFill>
          <a:headEnd type="none"/>
          <a:tailEnd type="none"/>
        </a:ln>
        <a:effectLst/>
      </a:spPr>
      <a:bodyPr vertOverflow="clip" horzOverflow="clip" rtlCol="0" anchor="t"/>
      <a:lstStyle>
        <a:defPPr algn="l">
          <a:defRPr kumimoji="1" sz="1100"/>
        </a:defPPr>
      </a:lstStyle>
      <a:style>
        <a:lnRef idx="2">
          <a:schemeClr val="accent1"/>
        </a:lnRef>
        <a:fillRef idx="0">
          <a:schemeClr val="accent1"/>
        </a:fillRef>
        <a:effectRef idx="1">
          <a:schemeClr val="accent1"/>
        </a:effectRef>
        <a:fontRef idx="minor">
          <a:schemeClr val="tx1"/>
        </a:fontRef>
      </a:style>
    </a:spDef>
    <a:lnDef>
      <a:spPr>
        <a:ln w="6350" cmpd="sng">
          <a:solidFill>
            <a:srgbClr val="000000"/>
          </a:solidFill>
          <a:headEnd type="arrow"/>
          <a:tailEnd type="arrow"/>
        </a:ln>
        <a:effectLst/>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hyperlink" Target="http://law.e-gov.go.jp/htmldata/S40/S40F0340100001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workbookViewId="0">
      <selection activeCell="B8" sqref="B8"/>
    </sheetView>
  </sheetViews>
  <sheetFormatPr baseColWidth="12" defaultRowHeight="18" x14ac:dyDescent="0"/>
  <cols>
    <col min="1" max="1" width="5.59765625" style="519" customWidth="1"/>
    <col min="2" max="2" width="4.59765625" style="519" customWidth="1"/>
    <col min="3" max="3" width="4.19921875" style="519" customWidth="1"/>
    <col min="4" max="16384" width="13" style="519"/>
  </cols>
  <sheetData>
    <row r="1" spans="1:4">
      <c r="A1" s="519" t="s">
        <v>662</v>
      </c>
    </row>
    <row r="2" spans="1:4">
      <c r="B2" s="519" t="s">
        <v>621</v>
      </c>
    </row>
    <row r="3" spans="1:4">
      <c r="B3" s="519" t="s">
        <v>622</v>
      </c>
    </row>
    <row r="5" spans="1:4">
      <c r="A5" s="519" t="s">
        <v>663</v>
      </c>
    </row>
    <row r="6" spans="1:4">
      <c r="B6" s="519" t="s">
        <v>698</v>
      </c>
    </row>
    <row r="7" spans="1:4">
      <c r="B7" s="519" t="s">
        <v>623</v>
      </c>
    </row>
    <row r="8" spans="1:4">
      <c r="B8" s="519" t="s">
        <v>624</v>
      </c>
    </row>
    <row r="9" spans="1:4">
      <c r="B9" s="519" t="s">
        <v>625</v>
      </c>
    </row>
    <row r="10" spans="1:4">
      <c r="B10" s="519" t="s">
        <v>626</v>
      </c>
    </row>
    <row r="12" spans="1:4">
      <c r="A12" s="519" t="s">
        <v>664</v>
      </c>
    </row>
    <row r="13" spans="1:4">
      <c r="B13" s="519" t="s">
        <v>671</v>
      </c>
      <c r="C13" s="519" t="s">
        <v>666</v>
      </c>
    </row>
    <row r="14" spans="1:4">
      <c r="C14" s="418"/>
      <c r="D14" s="519" t="s">
        <v>667</v>
      </c>
    </row>
    <row r="15" spans="1:4">
      <c r="C15" s="38"/>
      <c r="D15" s="519" t="s">
        <v>668</v>
      </c>
    </row>
    <row r="17" spans="2:3">
      <c r="B17" s="519" t="s">
        <v>670</v>
      </c>
      <c r="C17" s="519" t="s">
        <v>669</v>
      </c>
    </row>
    <row r="18" spans="2:3">
      <c r="C18" s="519" t="s">
        <v>665</v>
      </c>
    </row>
    <row r="19" spans="2:3">
      <c r="C19" s="519" t="s">
        <v>627</v>
      </c>
    </row>
    <row r="21" spans="2:3">
      <c r="C21" s="519" t="s">
        <v>628</v>
      </c>
    </row>
    <row r="22" spans="2:3">
      <c r="C22" s="519" t="s">
        <v>629</v>
      </c>
    </row>
    <row r="23" spans="2:3">
      <c r="C23" s="519" t="s">
        <v>630</v>
      </c>
    </row>
    <row r="24" spans="2:3">
      <c r="C24" s="519" t="s">
        <v>631</v>
      </c>
    </row>
    <row r="26" spans="2:3">
      <c r="C26" s="519" t="s">
        <v>632</v>
      </c>
    </row>
    <row r="27" spans="2:3">
      <c r="C27" s="519" t="s">
        <v>633</v>
      </c>
    </row>
    <row r="29" spans="2:3">
      <c r="C29" s="519" t="s">
        <v>634</v>
      </c>
    </row>
    <row r="30" spans="2:3">
      <c r="C30" s="519" t="s">
        <v>633</v>
      </c>
    </row>
    <row r="32" spans="2:3">
      <c r="C32" s="519" t="s">
        <v>635</v>
      </c>
    </row>
    <row r="33" spans="3:3">
      <c r="C33" s="519" t="s">
        <v>636</v>
      </c>
    </row>
    <row r="35" spans="3:3">
      <c r="C35" s="519" t="s">
        <v>637</v>
      </c>
    </row>
    <row r="36" spans="3:3">
      <c r="C36" s="519" t="s">
        <v>638</v>
      </c>
    </row>
    <row r="37" spans="3:3">
      <c r="C37" s="519" t="s">
        <v>639</v>
      </c>
    </row>
    <row r="38" spans="3:3">
      <c r="C38" s="519" t="s">
        <v>640</v>
      </c>
    </row>
    <row r="39" spans="3:3">
      <c r="C39" s="519" t="s">
        <v>641</v>
      </c>
    </row>
    <row r="40" spans="3:3">
      <c r="C40" s="519" t="s">
        <v>642</v>
      </c>
    </row>
    <row r="42" spans="3:3">
      <c r="C42" s="519" t="s">
        <v>643</v>
      </c>
    </row>
    <row r="43" spans="3:3">
      <c r="C43" s="519" t="s">
        <v>644</v>
      </c>
    </row>
    <row r="45" spans="3:3">
      <c r="C45" s="519" t="s">
        <v>645</v>
      </c>
    </row>
    <row r="46" spans="3:3">
      <c r="C46" s="519" t="s">
        <v>646</v>
      </c>
    </row>
    <row r="48" spans="3:3">
      <c r="C48" s="519" t="s">
        <v>647</v>
      </c>
    </row>
    <row r="49" spans="3:3">
      <c r="C49" s="519" t="s">
        <v>648</v>
      </c>
    </row>
    <row r="50" spans="3:3">
      <c r="C50" s="519" t="s">
        <v>649</v>
      </c>
    </row>
    <row r="51" spans="3:3">
      <c r="C51" s="519" t="s">
        <v>650</v>
      </c>
    </row>
    <row r="52" spans="3:3">
      <c r="C52" s="519" t="s">
        <v>651</v>
      </c>
    </row>
    <row r="53" spans="3:3">
      <c r="C53" s="519" t="s">
        <v>652</v>
      </c>
    </row>
    <row r="54" spans="3:3">
      <c r="C54" s="519" t="s">
        <v>653</v>
      </c>
    </row>
    <row r="56" spans="3:3">
      <c r="C56" s="519" t="s">
        <v>654</v>
      </c>
    </row>
    <row r="58" spans="3:3">
      <c r="C58" s="519" t="s">
        <v>655</v>
      </c>
    </row>
    <row r="59" spans="3:3">
      <c r="C59" s="519" t="s">
        <v>656</v>
      </c>
    </row>
    <row r="61" spans="3:3">
      <c r="C61" s="519" t="s">
        <v>657</v>
      </c>
    </row>
    <row r="62" spans="3:3">
      <c r="C62" s="519" t="s">
        <v>658</v>
      </c>
    </row>
    <row r="64" spans="3:3">
      <c r="C64" s="519" t="s">
        <v>659</v>
      </c>
    </row>
    <row r="65" spans="2:4">
      <c r="C65" s="519" t="s">
        <v>660</v>
      </c>
    </row>
    <row r="66" spans="2:4">
      <c r="C66" s="519" t="s">
        <v>661</v>
      </c>
    </row>
    <row r="68" spans="2:4">
      <c r="B68" s="519" t="s">
        <v>672</v>
      </c>
      <c r="C68" s="519" t="s">
        <v>673</v>
      </c>
    </row>
    <row r="69" spans="2:4">
      <c r="C69" s="519" t="s">
        <v>674</v>
      </c>
    </row>
    <row r="70" spans="2:4">
      <c r="C70" s="519" t="s">
        <v>675</v>
      </c>
    </row>
    <row r="73" spans="2:4">
      <c r="B73" s="519" t="s">
        <v>676</v>
      </c>
      <c r="C73" s="519" t="s">
        <v>677</v>
      </c>
    </row>
    <row r="74" spans="2:4">
      <c r="C74" s="519" t="s">
        <v>697</v>
      </c>
    </row>
    <row r="76" spans="2:4">
      <c r="C76" s="519" t="s">
        <v>680</v>
      </c>
    </row>
    <row r="77" spans="2:4">
      <c r="D77" s="519" t="s">
        <v>682</v>
      </c>
    </row>
    <row r="78" spans="2:4">
      <c r="D78" s="519" t="s">
        <v>683</v>
      </c>
    </row>
    <row r="80" spans="2:4">
      <c r="C80" s="519" t="s">
        <v>684</v>
      </c>
    </row>
    <row r="81" spans="2:4">
      <c r="D81" s="519" t="s">
        <v>686</v>
      </c>
    </row>
    <row r="82" spans="2:4">
      <c r="D82" s="519" t="s">
        <v>683</v>
      </c>
    </row>
    <row r="85" spans="2:4">
      <c r="B85" s="519" t="s">
        <v>687</v>
      </c>
      <c r="C85" s="519" t="s">
        <v>688</v>
      </c>
    </row>
    <row r="86" spans="2:4">
      <c r="D86" s="536" t="s">
        <v>691</v>
      </c>
    </row>
    <row r="87" spans="2:4">
      <c r="D87" s="519" t="s">
        <v>692</v>
      </c>
    </row>
    <row r="90" spans="2:4">
      <c r="B90" s="519" t="s">
        <v>693</v>
      </c>
      <c r="C90" s="519" t="s">
        <v>694</v>
      </c>
    </row>
    <row r="91" spans="2:4">
      <c r="C91" s="519" t="s">
        <v>695</v>
      </c>
    </row>
    <row r="92" spans="2:4">
      <c r="C92" s="519" t="s">
        <v>696</v>
      </c>
    </row>
  </sheetData>
  <phoneticPr fontId="6"/>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94"/>
  <sheetViews>
    <sheetView showGridLines="0" tabSelected="1" workbookViewId="0">
      <selection activeCell="F5" sqref="F5"/>
    </sheetView>
  </sheetViews>
  <sheetFormatPr baseColWidth="12" defaultColWidth="15.59765625" defaultRowHeight="17" x14ac:dyDescent="0"/>
  <cols>
    <col min="1" max="1" width="3.796875" style="9" customWidth="1"/>
    <col min="2" max="2" width="5.796875" style="9" customWidth="1"/>
    <col min="3" max="3" width="3.59765625" style="9" customWidth="1"/>
    <col min="4" max="4" width="2.796875" style="9" customWidth="1"/>
    <col min="5" max="5" width="23.59765625" style="9" customWidth="1"/>
    <col min="6" max="6" width="15.59765625" style="405"/>
    <col min="7" max="7" width="10.796875" style="9" customWidth="1"/>
    <col min="8" max="8" width="10.59765625" style="9" customWidth="1"/>
    <col min="9" max="9" width="103.3984375" style="9" customWidth="1"/>
    <col min="10" max="10" width="5" style="9" customWidth="1"/>
    <col min="11" max="11" width="13.59765625" style="9" customWidth="1"/>
    <col min="12" max="16384" width="15.59765625" style="9"/>
  </cols>
  <sheetData>
    <row r="1" spans="2:9" ht="31" customHeight="1">
      <c r="B1" s="427" t="s">
        <v>602</v>
      </c>
    </row>
    <row r="2" spans="2:9">
      <c r="B2" s="418" t="s">
        <v>419</v>
      </c>
      <c r="C2" s="418"/>
      <c r="D2" s="9" t="s">
        <v>600</v>
      </c>
    </row>
    <row r="3" spans="2:9">
      <c r="B3" s="38" t="s">
        <v>420</v>
      </c>
      <c r="C3" s="38"/>
      <c r="D3" s="9" t="s">
        <v>601</v>
      </c>
    </row>
    <row r="4" spans="2:9">
      <c r="B4" s="2" t="s">
        <v>408</v>
      </c>
      <c r="C4" s="7"/>
      <c r="D4" s="7"/>
      <c r="E4" s="7"/>
      <c r="F4" s="406"/>
      <c r="G4" s="7"/>
      <c r="H4" s="2" t="s">
        <v>593</v>
      </c>
      <c r="I4" s="8"/>
    </row>
    <row r="5" spans="2:9">
      <c r="B5" s="21" t="s">
        <v>505</v>
      </c>
      <c r="C5" s="22"/>
      <c r="D5" s="22"/>
      <c r="E5" s="22"/>
      <c r="F5" s="171" t="s">
        <v>506</v>
      </c>
      <c r="G5" s="22"/>
      <c r="H5" s="175" t="s">
        <v>520</v>
      </c>
      <c r="I5" s="23" t="s">
        <v>521</v>
      </c>
    </row>
    <row r="6" spans="2:9">
      <c r="B6" s="3" t="s">
        <v>177</v>
      </c>
      <c r="F6" s="419">
        <v>1</v>
      </c>
      <c r="G6" s="4" t="s">
        <v>179</v>
      </c>
      <c r="H6" s="176" t="s">
        <v>613</v>
      </c>
      <c r="I6" s="4" t="s">
        <v>522</v>
      </c>
    </row>
    <row r="7" spans="2:9">
      <c r="B7" s="3" t="s">
        <v>523</v>
      </c>
      <c r="F7" s="423">
        <v>100</v>
      </c>
      <c r="G7" s="4" t="s">
        <v>154</v>
      </c>
      <c r="H7" s="176" t="s">
        <v>382</v>
      </c>
      <c r="I7" s="4" t="s">
        <v>524</v>
      </c>
    </row>
    <row r="8" spans="2:9">
      <c r="B8" s="24" t="s">
        <v>260</v>
      </c>
      <c r="F8" s="39">
        <v>42</v>
      </c>
      <c r="G8" s="25" t="s">
        <v>268</v>
      </c>
      <c r="H8" s="176" t="s">
        <v>382</v>
      </c>
      <c r="I8" s="4"/>
    </row>
    <row r="9" spans="2:9">
      <c r="B9" s="24" t="s">
        <v>261</v>
      </c>
      <c r="F9" s="40">
        <v>0.32</v>
      </c>
      <c r="G9" s="25" t="s">
        <v>262</v>
      </c>
      <c r="H9" s="176" t="s">
        <v>382</v>
      </c>
      <c r="I9" s="4"/>
    </row>
    <row r="10" spans="2:9">
      <c r="B10" s="24" t="s">
        <v>415</v>
      </c>
      <c r="F10" s="40">
        <v>0.12</v>
      </c>
      <c r="G10" s="25" t="s">
        <v>262</v>
      </c>
      <c r="H10" s="176"/>
      <c r="I10" s="4" t="s">
        <v>541</v>
      </c>
    </row>
    <row r="11" spans="2:9">
      <c r="B11" s="3" t="s">
        <v>189</v>
      </c>
      <c r="F11" s="420">
        <v>0.85</v>
      </c>
      <c r="G11" s="4" t="s">
        <v>190</v>
      </c>
      <c r="H11" s="176" t="s">
        <v>542</v>
      </c>
      <c r="I11" s="4" t="s">
        <v>543</v>
      </c>
    </row>
    <row r="12" spans="2:9">
      <c r="B12" s="3"/>
      <c r="F12" s="420"/>
      <c r="H12" s="3"/>
      <c r="I12" s="205"/>
    </row>
    <row r="13" spans="2:9">
      <c r="B13" s="2" t="s">
        <v>567</v>
      </c>
      <c r="C13" s="7"/>
      <c r="D13" s="7"/>
      <c r="E13" s="7"/>
      <c r="F13" s="509"/>
      <c r="G13" s="8"/>
      <c r="H13" s="174" t="s">
        <v>620</v>
      </c>
      <c r="I13" s="8"/>
    </row>
    <row r="14" spans="2:9">
      <c r="B14" s="3" t="s">
        <v>395</v>
      </c>
      <c r="F14" s="423">
        <v>1000000</v>
      </c>
      <c r="G14" s="4" t="s">
        <v>16</v>
      </c>
      <c r="H14" s="176"/>
      <c r="I14" s="4"/>
    </row>
    <row r="15" spans="2:9">
      <c r="B15" s="3" t="s">
        <v>196</v>
      </c>
      <c r="F15" s="423">
        <v>2000000</v>
      </c>
      <c r="G15" s="4" t="s">
        <v>16</v>
      </c>
      <c r="H15" s="176"/>
      <c r="I15" s="4"/>
    </row>
    <row r="16" spans="2:9">
      <c r="B16" s="3" t="s">
        <v>230</v>
      </c>
      <c r="F16" s="423">
        <v>300000</v>
      </c>
      <c r="G16" s="4" t="s">
        <v>16</v>
      </c>
      <c r="H16" s="176"/>
      <c r="I16" s="4" t="s">
        <v>591</v>
      </c>
    </row>
    <row r="17" spans="2:10">
      <c r="B17" s="3" t="s">
        <v>570</v>
      </c>
      <c r="F17" s="423">
        <v>100000</v>
      </c>
      <c r="G17" s="4" t="s">
        <v>232</v>
      </c>
      <c r="H17" s="176"/>
      <c r="I17" s="4"/>
    </row>
    <row r="18" spans="2:10">
      <c r="B18" s="3" t="s">
        <v>233</v>
      </c>
      <c r="F18" s="423">
        <v>300000</v>
      </c>
      <c r="G18" s="4" t="s">
        <v>232</v>
      </c>
      <c r="H18" s="176"/>
      <c r="I18" s="4"/>
    </row>
    <row r="19" spans="2:10">
      <c r="B19" s="3"/>
      <c r="F19" s="423"/>
      <c r="G19" s="4"/>
      <c r="H19" s="179"/>
      <c r="I19" s="110"/>
    </row>
    <row r="20" spans="2:10">
      <c r="B20" s="2" t="s">
        <v>405</v>
      </c>
      <c r="C20" s="7"/>
      <c r="D20" s="7"/>
      <c r="E20" s="7"/>
      <c r="F20" s="43"/>
      <c r="G20" s="8"/>
      <c r="H20" s="2" t="s">
        <v>606</v>
      </c>
      <c r="I20" s="8"/>
    </row>
    <row r="21" spans="2:10">
      <c r="B21" s="3" t="s">
        <v>157</v>
      </c>
      <c r="F21" s="456">
        <f>SUM(F22:F24)</f>
        <v>22615096.970304284</v>
      </c>
      <c r="G21" s="4" t="s">
        <v>16</v>
      </c>
      <c r="H21" s="175" t="s">
        <v>571</v>
      </c>
      <c r="I21" s="4" t="s">
        <v>572</v>
      </c>
      <c r="J21" s="14"/>
    </row>
    <row r="22" spans="2:10">
      <c r="B22" s="12" t="s">
        <v>158</v>
      </c>
      <c r="F22" s="423">
        <f>機械装置*0.3</f>
        <v>22615096.970304284</v>
      </c>
      <c r="G22" s="27" t="s">
        <v>16</v>
      </c>
      <c r="H22" s="176"/>
      <c r="I22" s="4"/>
    </row>
    <row r="23" spans="2:10">
      <c r="B23" s="12" t="s">
        <v>159</v>
      </c>
      <c r="F23" s="423">
        <v>0</v>
      </c>
      <c r="G23" s="27" t="s">
        <v>16</v>
      </c>
      <c r="H23" s="176"/>
      <c r="I23" s="4"/>
    </row>
    <row r="24" spans="2:10">
      <c r="B24" s="12" t="s">
        <v>160</v>
      </c>
      <c r="F24" s="423">
        <v>0</v>
      </c>
      <c r="G24" s="27" t="s">
        <v>16</v>
      </c>
      <c r="H24" s="176"/>
      <c r="I24" s="4"/>
    </row>
    <row r="25" spans="2:10">
      <c r="B25" s="12"/>
      <c r="F25" s="423"/>
      <c r="G25" s="27"/>
      <c r="H25" s="177"/>
      <c r="I25" s="4"/>
    </row>
    <row r="26" spans="2:10">
      <c r="B26" s="2" t="s">
        <v>498</v>
      </c>
      <c r="C26" s="7"/>
      <c r="D26" s="7"/>
      <c r="E26" s="7"/>
      <c r="F26" s="43"/>
      <c r="G26" s="8"/>
      <c r="H26" s="2" t="s">
        <v>596</v>
      </c>
      <c r="I26" s="8"/>
    </row>
    <row r="27" spans="2:10">
      <c r="B27" s="12" t="s">
        <v>499</v>
      </c>
      <c r="F27" s="420"/>
      <c r="G27" s="27" t="s">
        <v>500</v>
      </c>
      <c r="H27" s="175"/>
      <c r="I27" s="4"/>
    </row>
    <row r="28" spans="2:10">
      <c r="B28" s="12" t="s">
        <v>504</v>
      </c>
      <c r="F28" s="420"/>
      <c r="G28" s="27" t="s">
        <v>500</v>
      </c>
      <c r="H28" s="176"/>
      <c r="I28" s="4" t="s">
        <v>586</v>
      </c>
    </row>
    <row r="29" spans="2:10">
      <c r="B29" s="12" t="s">
        <v>501</v>
      </c>
      <c r="F29" s="423"/>
      <c r="G29" s="27" t="s">
        <v>503</v>
      </c>
      <c r="H29" s="176"/>
      <c r="I29" s="4" t="s">
        <v>594</v>
      </c>
    </row>
    <row r="30" spans="2:10">
      <c r="B30" s="12" t="s">
        <v>502</v>
      </c>
      <c r="F30" s="423"/>
      <c r="G30" s="27" t="s">
        <v>503</v>
      </c>
      <c r="H30" s="176"/>
      <c r="I30" s="4"/>
    </row>
    <row r="31" spans="2:10">
      <c r="B31" s="12" t="s">
        <v>510</v>
      </c>
      <c r="F31" s="422" t="s">
        <v>511</v>
      </c>
      <c r="G31" s="27"/>
      <c r="H31" s="177"/>
      <c r="I31" s="4" t="s">
        <v>529</v>
      </c>
    </row>
    <row r="32" spans="2:10">
      <c r="B32" s="2" t="s">
        <v>413</v>
      </c>
      <c r="C32" s="7"/>
      <c r="D32" s="7"/>
      <c r="E32" s="7"/>
      <c r="F32" s="43"/>
      <c r="G32" s="8"/>
      <c r="H32" s="2" t="s">
        <v>595</v>
      </c>
      <c r="I32" s="8"/>
    </row>
    <row r="33" spans="2:9" s="108" customFormat="1">
      <c r="B33" s="12" t="s">
        <v>614</v>
      </c>
      <c r="F33" s="456">
        <f>IF(常時使用水量=0,0,(1976*常時理論水力+436*(最大理論水力-常時理論水力)*105/100)*設置サイト数)</f>
        <v>135284.68799999999</v>
      </c>
      <c r="G33" s="9" t="s">
        <v>409</v>
      </c>
      <c r="H33" s="175" t="s">
        <v>615</v>
      </c>
      <c r="I33" s="23" t="s">
        <v>616</v>
      </c>
    </row>
    <row r="34" spans="2:9" s="108" customFormat="1">
      <c r="B34" s="510" t="s">
        <v>115</v>
      </c>
      <c r="F34" s="423">
        <v>3000</v>
      </c>
      <c r="G34" s="1" t="s">
        <v>538</v>
      </c>
      <c r="H34" s="176"/>
      <c r="I34" s="4" t="s">
        <v>545</v>
      </c>
    </row>
    <row r="35" spans="2:9" s="108" customFormat="1">
      <c r="B35" s="510" t="s">
        <v>235</v>
      </c>
      <c r="F35" s="423">
        <v>200000</v>
      </c>
      <c r="G35" s="1" t="s">
        <v>538</v>
      </c>
      <c r="H35" s="176"/>
      <c r="I35" s="4" t="s">
        <v>546</v>
      </c>
    </row>
    <row r="36" spans="2:9" s="108" customFormat="1">
      <c r="B36" s="510" t="s">
        <v>77</v>
      </c>
      <c r="F36" s="423">
        <v>300000</v>
      </c>
      <c r="G36" s="1" t="s">
        <v>538</v>
      </c>
      <c r="H36" s="176"/>
      <c r="I36" s="4" t="s">
        <v>550</v>
      </c>
    </row>
    <row r="37" spans="2:9" s="108" customFormat="1">
      <c r="B37" s="510" t="s">
        <v>103</v>
      </c>
      <c r="F37" s="423">
        <v>2000</v>
      </c>
      <c r="G37" s="1" t="s">
        <v>539</v>
      </c>
      <c r="H37" s="176"/>
      <c r="I37" s="4" t="s">
        <v>556</v>
      </c>
    </row>
    <row r="38" spans="2:9" s="200" customFormat="1" hidden="1">
      <c r="B38" s="511" t="s">
        <v>102</v>
      </c>
      <c r="F38" s="426">
        <v>10000</v>
      </c>
      <c r="G38" s="84" t="s">
        <v>539</v>
      </c>
      <c r="H38" s="201"/>
      <c r="I38" s="202"/>
    </row>
    <row r="39" spans="2:9" s="200" customFormat="1" hidden="1">
      <c r="B39" s="511" t="s">
        <v>112</v>
      </c>
      <c r="F39" s="426">
        <v>0</v>
      </c>
      <c r="G39" s="84" t="s">
        <v>539</v>
      </c>
      <c r="H39" s="201"/>
      <c r="I39" s="202"/>
    </row>
    <row r="40" spans="2:9" s="200" customFormat="1" hidden="1">
      <c r="B40" s="511" t="s">
        <v>410</v>
      </c>
      <c r="F40" s="426">
        <v>120000</v>
      </c>
      <c r="G40" s="84" t="s">
        <v>539</v>
      </c>
      <c r="H40" s="201"/>
      <c r="I40" s="202"/>
    </row>
    <row r="41" spans="2:9" s="200" customFormat="1" hidden="1">
      <c r="B41" s="511" t="s">
        <v>411</v>
      </c>
      <c r="F41" s="518">
        <v>50000</v>
      </c>
      <c r="G41" s="84" t="s">
        <v>539</v>
      </c>
      <c r="H41" s="201"/>
      <c r="I41" s="202"/>
    </row>
    <row r="42" spans="2:9" s="108" customFormat="1">
      <c r="B42" s="510" t="s">
        <v>558</v>
      </c>
      <c r="F42" s="423">
        <v>1000</v>
      </c>
      <c r="G42" s="1" t="s">
        <v>412</v>
      </c>
      <c r="H42" s="176"/>
      <c r="I42" s="4" t="s">
        <v>557</v>
      </c>
    </row>
    <row r="43" spans="2:9" s="108" customFormat="1">
      <c r="B43" s="510"/>
      <c r="F43" s="423"/>
      <c r="G43" s="1"/>
      <c r="H43" s="176"/>
      <c r="I43" s="4"/>
    </row>
    <row r="44" spans="2:9" s="108" customFormat="1">
      <c r="B44" s="510" t="s">
        <v>610</v>
      </c>
      <c r="F44" s="422" t="s">
        <v>384</v>
      </c>
      <c r="G44" s="1"/>
      <c r="H44" s="176" t="s">
        <v>618</v>
      </c>
      <c r="I44" s="4" t="s">
        <v>530</v>
      </c>
    </row>
    <row r="45" spans="2:9" s="108" customFormat="1">
      <c r="B45" s="510" t="s">
        <v>611</v>
      </c>
      <c r="F45" s="423"/>
      <c r="G45" s="1" t="s">
        <v>519</v>
      </c>
      <c r="H45" s="177"/>
      <c r="I45" s="4" t="s">
        <v>608</v>
      </c>
    </row>
    <row r="46" spans="2:9">
      <c r="B46" s="2" t="s">
        <v>406</v>
      </c>
      <c r="C46" s="7"/>
      <c r="D46" s="7"/>
      <c r="E46" s="7"/>
      <c r="F46" s="43"/>
      <c r="G46" s="37"/>
      <c r="H46" s="2" t="s">
        <v>597</v>
      </c>
      <c r="I46" s="8"/>
    </row>
    <row r="47" spans="2:9">
      <c r="B47" s="12" t="s">
        <v>55</v>
      </c>
      <c r="F47" s="420">
        <v>0.05</v>
      </c>
      <c r="G47" s="27" t="s">
        <v>161</v>
      </c>
      <c r="H47" s="175"/>
      <c r="I47" s="4"/>
    </row>
    <row r="48" spans="2:9">
      <c r="B48" s="12" t="s">
        <v>246</v>
      </c>
      <c r="F48" s="45">
        <v>1.4E-2</v>
      </c>
      <c r="G48" s="27" t="s">
        <v>247</v>
      </c>
      <c r="H48" s="176"/>
      <c r="I48" s="4"/>
    </row>
    <row r="49" spans="2:9">
      <c r="B49" s="12"/>
      <c r="F49" s="423"/>
      <c r="G49" s="4"/>
      <c r="H49" s="177"/>
      <c r="I49" s="4"/>
    </row>
    <row r="50" spans="2:9">
      <c r="B50" s="512" t="s">
        <v>162</v>
      </c>
      <c r="C50" s="7"/>
      <c r="D50" s="7"/>
      <c r="E50" s="7"/>
      <c r="F50" s="43"/>
      <c r="G50" s="8"/>
      <c r="H50" s="2" t="s">
        <v>598</v>
      </c>
      <c r="I50" s="8"/>
    </row>
    <row r="51" spans="2:9">
      <c r="B51" s="513" t="s">
        <v>176</v>
      </c>
      <c r="C51" s="22"/>
      <c r="D51" s="22"/>
      <c r="E51" s="22"/>
      <c r="F51" s="44">
        <v>2.5999999999999999E-2</v>
      </c>
      <c r="G51" s="23" t="s">
        <v>161</v>
      </c>
      <c r="H51" s="175"/>
      <c r="I51" s="23"/>
    </row>
    <row r="52" spans="2:9">
      <c r="B52" s="12" t="s">
        <v>509</v>
      </c>
      <c r="F52" s="207">
        <v>20</v>
      </c>
      <c r="G52" s="4" t="s">
        <v>503</v>
      </c>
      <c r="H52" s="180"/>
      <c r="I52" s="109"/>
    </row>
    <row r="53" spans="2:9">
      <c r="B53" s="12" t="s">
        <v>175</v>
      </c>
      <c r="F53" s="207">
        <v>20</v>
      </c>
      <c r="G53" s="4" t="s">
        <v>37</v>
      </c>
      <c r="H53" s="176"/>
      <c r="I53" s="4" t="s">
        <v>573</v>
      </c>
    </row>
    <row r="54" spans="2:9">
      <c r="B54" s="12" t="s">
        <v>163</v>
      </c>
      <c r="F54" s="207">
        <v>35</v>
      </c>
      <c r="G54" s="4" t="s">
        <v>164</v>
      </c>
      <c r="H54" s="176"/>
      <c r="I54" s="4" t="s">
        <v>573</v>
      </c>
    </row>
    <row r="55" spans="2:9">
      <c r="B55" s="12" t="s">
        <v>174</v>
      </c>
      <c r="F55" s="207">
        <v>5</v>
      </c>
      <c r="G55" s="4" t="s">
        <v>164</v>
      </c>
      <c r="H55" s="176"/>
      <c r="I55" s="4"/>
    </row>
    <row r="56" spans="2:9">
      <c r="B56" s="12" t="s">
        <v>191</v>
      </c>
      <c r="F56" s="207">
        <v>24</v>
      </c>
      <c r="G56" s="4" t="s">
        <v>164</v>
      </c>
      <c r="H56" s="176"/>
      <c r="I56" s="4"/>
    </row>
    <row r="57" spans="2:9">
      <c r="B57" s="12" t="s">
        <v>165</v>
      </c>
      <c r="F57" s="207">
        <v>0</v>
      </c>
      <c r="G57" s="4" t="s">
        <v>164</v>
      </c>
      <c r="H57" s="176"/>
      <c r="I57" s="4"/>
    </row>
    <row r="58" spans="2:9" hidden="1">
      <c r="B58" s="12" t="s">
        <v>166</v>
      </c>
      <c r="F58" s="45">
        <v>0.05</v>
      </c>
      <c r="G58" s="4" t="s">
        <v>161</v>
      </c>
      <c r="H58" s="176"/>
      <c r="I58" s="4"/>
    </row>
    <row r="59" spans="2:9">
      <c r="B59" s="12" t="s">
        <v>167</v>
      </c>
      <c r="F59" s="46">
        <v>0</v>
      </c>
      <c r="G59" s="4" t="s">
        <v>161</v>
      </c>
      <c r="H59" s="176"/>
      <c r="I59" s="4"/>
    </row>
    <row r="60" spans="2:9" s="13" customFormat="1">
      <c r="B60" s="514"/>
      <c r="F60" s="423"/>
      <c r="G60" s="26"/>
      <c r="H60" s="182"/>
      <c r="I60" s="27"/>
    </row>
    <row r="61" spans="2:9">
      <c r="B61" s="2" t="s">
        <v>566</v>
      </c>
      <c r="C61" s="7"/>
      <c r="D61" s="7"/>
      <c r="E61" s="7"/>
      <c r="F61" s="421"/>
      <c r="G61" s="8"/>
      <c r="H61" s="174" t="s">
        <v>544</v>
      </c>
      <c r="I61" s="8"/>
    </row>
    <row r="62" spans="2:9" ht="17" customHeight="1">
      <c r="B62" s="12" t="s">
        <v>404</v>
      </c>
      <c r="F62" s="424" t="s">
        <v>384</v>
      </c>
      <c r="G62" s="4"/>
      <c r="H62" s="178" t="s">
        <v>527</v>
      </c>
      <c r="I62" s="184"/>
    </row>
    <row r="63" spans="2:9">
      <c r="B63" s="12" t="s">
        <v>403</v>
      </c>
      <c r="F63" s="423">
        <v>0</v>
      </c>
      <c r="G63" s="4" t="s">
        <v>16</v>
      </c>
      <c r="H63" s="185"/>
      <c r="I63" s="186"/>
    </row>
    <row r="64" spans="2:9">
      <c r="B64" s="12" t="s">
        <v>387</v>
      </c>
      <c r="F64" s="422" t="s">
        <v>384</v>
      </c>
      <c r="G64" s="4"/>
      <c r="H64" s="185"/>
      <c r="I64" s="186"/>
    </row>
    <row r="65" spans="2:11">
      <c r="B65" s="12" t="s">
        <v>388</v>
      </c>
      <c r="F65" s="423">
        <v>0</v>
      </c>
      <c r="G65" s="4" t="s">
        <v>16</v>
      </c>
      <c r="H65" s="185"/>
      <c r="I65" s="186"/>
    </row>
    <row r="66" spans="2:11">
      <c r="B66" s="12" t="s">
        <v>389</v>
      </c>
      <c r="F66" s="422" t="s">
        <v>384</v>
      </c>
      <c r="G66" s="4"/>
      <c r="H66" s="185"/>
      <c r="I66" s="186"/>
    </row>
    <row r="67" spans="2:11">
      <c r="B67" s="12" t="s">
        <v>390</v>
      </c>
      <c r="F67" s="423">
        <v>0</v>
      </c>
      <c r="G67" s="4" t="s">
        <v>16</v>
      </c>
      <c r="H67" s="185"/>
      <c r="I67" s="186"/>
    </row>
    <row r="68" spans="2:11">
      <c r="B68" s="12" t="s">
        <v>391</v>
      </c>
      <c r="F68" s="422" t="s">
        <v>384</v>
      </c>
      <c r="G68" s="4"/>
      <c r="H68" s="185"/>
      <c r="I68" s="186"/>
    </row>
    <row r="69" spans="2:11">
      <c r="B69" s="12" t="s">
        <v>392</v>
      </c>
      <c r="F69" s="423">
        <v>0</v>
      </c>
      <c r="G69" s="4" t="s">
        <v>16</v>
      </c>
      <c r="H69" s="185"/>
      <c r="I69" s="186"/>
    </row>
    <row r="70" spans="2:11">
      <c r="B70" s="12" t="s">
        <v>433</v>
      </c>
      <c r="F70" s="422" t="s">
        <v>384</v>
      </c>
      <c r="G70" s="4"/>
      <c r="H70" s="185"/>
      <c r="I70" s="186"/>
    </row>
    <row r="71" spans="2:11">
      <c r="B71" s="12" t="s">
        <v>434</v>
      </c>
      <c r="F71" s="423">
        <v>0</v>
      </c>
      <c r="G71" s="4" t="s">
        <v>16</v>
      </c>
      <c r="H71" s="185"/>
      <c r="I71" s="186"/>
    </row>
    <row r="72" spans="2:11">
      <c r="B72" s="12" t="s">
        <v>393</v>
      </c>
      <c r="F72" s="422" t="s">
        <v>384</v>
      </c>
      <c r="G72" s="4"/>
      <c r="H72" s="185"/>
      <c r="I72" s="186"/>
    </row>
    <row r="73" spans="2:11">
      <c r="B73" s="12" t="s">
        <v>394</v>
      </c>
      <c r="F73" s="423">
        <v>0</v>
      </c>
      <c r="G73" s="4" t="s">
        <v>16</v>
      </c>
      <c r="H73" s="185"/>
      <c r="I73" s="186"/>
    </row>
    <row r="74" spans="2:11">
      <c r="B74" s="12" t="s">
        <v>396</v>
      </c>
      <c r="F74" s="422" t="s">
        <v>384</v>
      </c>
      <c r="G74" s="4"/>
      <c r="H74" s="185"/>
      <c r="I74" s="186"/>
    </row>
    <row r="75" spans="2:11">
      <c r="B75" s="12" t="s">
        <v>397</v>
      </c>
      <c r="F75" s="423">
        <v>0</v>
      </c>
      <c r="G75" s="4" t="s">
        <v>16</v>
      </c>
      <c r="H75" s="185"/>
      <c r="I75" s="186"/>
    </row>
    <row r="76" spans="2:11">
      <c r="B76" s="12"/>
      <c r="F76" s="425"/>
      <c r="G76" s="4"/>
      <c r="H76" s="206"/>
      <c r="I76" s="186"/>
    </row>
    <row r="77" spans="2:11">
      <c r="B77" s="2" t="s">
        <v>565</v>
      </c>
      <c r="C77" s="7"/>
      <c r="D77" s="7"/>
      <c r="E77" s="7"/>
      <c r="F77" s="406"/>
      <c r="G77" s="7"/>
      <c r="H77" s="2" t="s">
        <v>592</v>
      </c>
      <c r="I77" s="8"/>
    </row>
    <row r="78" spans="2:11">
      <c r="B78" s="515" t="s">
        <v>549</v>
      </c>
      <c r="C78" s="187"/>
      <c r="D78" s="187"/>
      <c r="E78" s="187"/>
      <c r="F78" s="188" t="s">
        <v>297</v>
      </c>
      <c r="G78" s="190"/>
      <c r="H78" s="189"/>
      <c r="I78" s="190" t="s">
        <v>555</v>
      </c>
    </row>
    <row r="79" spans="2:11">
      <c r="B79" s="514" t="s">
        <v>274</v>
      </c>
      <c r="F79" s="169" t="s">
        <v>589</v>
      </c>
      <c r="G79" s="25"/>
      <c r="H79" s="176" t="s">
        <v>398</v>
      </c>
      <c r="I79" s="4" t="s">
        <v>525</v>
      </c>
      <c r="K79" s="199"/>
    </row>
    <row r="80" spans="2:11">
      <c r="B80" s="514" t="s">
        <v>266</v>
      </c>
      <c r="F80" s="39">
        <v>50</v>
      </c>
      <c r="G80" s="25" t="s">
        <v>268</v>
      </c>
      <c r="H80" s="176"/>
      <c r="I80" s="4"/>
      <c r="K80" s="199"/>
    </row>
    <row r="81" spans="2:11">
      <c r="B81" s="514" t="s">
        <v>269</v>
      </c>
      <c r="F81" s="170" t="s">
        <v>590</v>
      </c>
      <c r="G81" s="25"/>
      <c r="H81" s="176" t="s">
        <v>398</v>
      </c>
      <c r="I81" s="4" t="s">
        <v>526</v>
      </c>
      <c r="K81" s="199"/>
    </row>
    <row r="82" spans="2:11">
      <c r="B82" s="514" t="s">
        <v>271</v>
      </c>
      <c r="F82" s="39">
        <v>0</v>
      </c>
      <c r="G82" s="25" t="s">
        <v>268</v>
      </c>
      <c r="H82" s="176"/>
      <c r="I82" s="4"/>
      <c r="K82" s="199"/>
    </row>
    <row r="83" spans="2:11">
      <c r="B83" s="514" t="s">
        <v>272</v>
      </c>
      <c r="F83" s="39">
        <v>0</v>
      </c>
      <c r="G83" s="26" t="s">
        <v>268</v>
      </c>
      <c r="H83" s="176"/>
      <c r="I83" s="4"/>
      <c r="K83" s="199"/>
    </row>
    <row r="84" spans="2:11">
      <c r="B84" s="514" t="s">
        <v>276</v>
      </c>
      <c r="F84" s="170" t="s">
        <v>282</v>
      </c>
      <c r="G84" s="26"/>
      <c r="H84" s="176" t="s">
        <v>398</v>
      </c>
      <c r="I84" s="4" t="s">
        <v>540</v>
      </c>
      <c r="K84" s="199"/>
    </row>
    <row r="85" spans="2:11">
      <c r="B85" s="514" t="s">
        <v>278</v>
      </c>
      <c r="F85" s="170" t="s">
        <v>560</v>
      </c>
      <c r="G85" s="26"/>
      <c r="H85" s="176" t="s">
        <v>398</v>
      </c>
      <c r="I85" s="204" t="s">
        <v>561</v>
      </c>
      <c r="K85" s="199"/>
    </row>
    <row r="86" spans="2:11">
      <c r="B86" s="514" t="s">
        <v>279</v>
      </c>
      <c r="F86" s="39">
        <v>500</v>
      </c>
      <c r="G86" s="26" t="s">
        <v>273</v>
      </c>
      <c r="H86" s="176"/>
      <c r="I86" s="204"/>
      <c r="K86" s="199"/>
    </row>
    <row r="87" spans="2:11">
      <c r="B87" s="514" t="s">
        <v>280</v>
      </c>
      <c r="F87" s="170"/>
      <c r="G87" s="26"/>
      <c r="H87" s="176" t="s">
        <v>398</v>
      </c>
      <c r="I87" s="204"/>
      <c r="K87" s="199"/>
    </row>
    <row r="88" spans="2:11">
      <c r="B88" s="514" t="s">
        <v>277</v>
      </c>
      <c r="F88" s="170"/>
      <c r="G88" s="26"/>
      <c r="H88" s="176" t="s">
        <v>398</v>
      </c>
      <c r="I88" s="204" t="s">
        <v>562</v>
      </c>
      <c r="K88" s="199"/>
    </row>
    <row r="89" spans="2:11">
      <c r="B89" s="514" t="s">
        <v>281</v>
      </c>
      <c r="F89" s="39">
        <v>0</v>
      </c>
      <c r="G89" s="26" t="s">
        <v>273</v>
      </c>
      <c r="H89" s="176"/>
      <c r="I89" s="4"/>
      <c r="K89" s="199"/>
    </row>
    <row r="90" spans="2:11">
      <c r="B90" s="516" t="s">
        <v>303</v>
      </c>
      <c r="F90" s="41">
        <v>1</v>
      </c>
      <c r="G90" s="25" t="s">
        <v>304</v>
      </c>
      <c r="H90" s="176" t="s">
        <v>382</v>
      </c>
      <c r="I90" s="4" t="s">
        <v>402</v>
      </c>
    </row>
    <row r="91" spans="2:11" ht="17" customHeight="1">
      <c r="B91" s="514" t="s">
        <v>305</v>
      </c>
      <c r="F91" s="169" t="s">
        <v>699</v>
      </c>
      <c r="G91" s="25"/>
      <c r="H91" s="176" t="s">
        <v>398</v>
      </c>
      <c r="I91" s="4" t="s">
        <v>563</v>
      </c>
      <c r="K91" s="198"/>
    </row>
    <row r="92" spans="2:11" ht="41">
      <c r="B92" s="517" t="s">
        <v>436</v>
      </c>
      <c r="C92" s="7"/>
      <c r="D92" s="7"/>
      <c r="E92" s="7"/>
      <c r="F92" s="482" t="s">
        <v>362</v>
      </c>
      <c r="G92" s="483"/>
      <c r="H92" s="484" t="s">
        <v>520</v>
      </c>
      <c r="I92" s="485" t="s">
        <v>607</v>
      </c>
      <c r="K92" s="199"/>
    </row>
    <row r="93" spans="2:11">
      <c r="B93" s="514" t="s">
        <v>288</v>
      </c>
      <c r="F93" s="169" t="s">
        <v>589</v>
      </c>
      <c r="G93" s="26"/>
      <c r="H93" s="176" t="s">
        <v>398</v>
      </c>
      <c r="I93" s="4" t="s">
        <v>564</v>
      </c>
      <c r="K93" s="199"/>
    </row>
    <row r="94" spans="2:11">
      <c r="B94" s="514" t="s">
        <v>275</v>
      </c>
      <c r="F94" s="39">
        <v>10</v>
      </c>
      <c r="G94" s="25" t="s">
        <v>268</v>
      </c>
      <c r="H94" s="176"/>
      <c r="I94" s="4"/>
      <c r="K94" s="199"/>
    </row>
    <row r="95" spans="2:11">
      <c r="B95" s="514" t="s">
        <v>301</v>
      </c>
      <c r="F95" s="169" t="s">
        <v>297</v>
      </c>
      <c r="G95" s="25"/>
      <c r="H95" s="176" t="s">
        <v>398</v>
      </c>
      <c r="I95" s="4" t="s">
        <v>528</v>
      </c>
      <c r="K95" s="199"/>
    </row>
    <row r="96" spans="2:11">
      <c r="B96" s="514" t="s">
        <v>317</v>
      </c>
      <c r="F96" s="42">
        <v>10</v>
      </c>
      <c r="G96" s="25" t="s">
        <v>268</v>
      </c>
      <c r="H96" s="176"/>
      <c r="I96" s="4" t="s">
        <v>551</v>
      </c>
      <c r="K96" s="199"/>
    </row>
    <row r="97" spans="2:11">
      <c r="B97" s="514" t="s">
        <v>318</v>
      </c>
      <c r="F97" s="42">
        <v>0</v>
      </c>
      <c r="G97" s="25" t="s">
        <v>319</v>
      </c>
      <c r="H97" s="176"/>
      <c r="I97" s="4" t="s">
        <v>552</v>
      </c>
      <c r="K97" s="199"/>
    </row>
    <row r="98" spans="2:11">
      <c r="B98" s="514" t="s">
        <v>320</v>
      </c>
      <c r="F98" s="42">
        <v>0</v>
      </c>
      <c r="G98" s="25" t="s">
        <v>319</v>
      </c>
      <c r="H98" s="176"/>
      <c r="I98" s="4" t="s">
        <v>553</v>
      </c>
      <c r="K98" s="199"/>
    </row>
    <row r="99" spans="2:11">
      <c r="B99" s="514" t="s">
        <v>321</v>
      </c>
      <c r="F99" s="169" t="s">
        <v>407</v>
      </c>
      <c r="G99" s="25"/>
      <c r="H99" s="176" t="s">
        <v>398</v>
      </c>
      <c r="I99" s="4" t="s">
        <v>554</v>
      </c>
      <c r="K99" s="199"/>
    </row>
    <row r="100" spans="2:11">
      <c r="B100" s="12"/>
      <c r="F100" s="419"/>
      <c r="G100" s="4"/>
      <c r="H100" s="177"/>
      <c r="I100" s="4"/>
    </row>
    <row r="101" spans="2:11">
      <c r="B101" s="2" t="s">
        <v>169</v>
      </c>
      <c r="C101" s="7"/>
      <c r="D101" s="7"/>
      <c r="E101" s="7"/>
      <c r="F101" s="43"/>
      <c r="G101" s="8"/>
      <c r="H101" s="2"/>
      <c r="I101" s="8"/>
    </row>
    <row r="102" spans="2:11">
      <c r="B102" s="12" t="s">
        <v>155</v>
      </c>
      <c r="F102" s="456">
        <f>設置容量*24*365*稼働率*設置サイト数</f>
        <v>744600</v>
      </c>
      <c r="G102" s="4" t="s">
        <v>156</v>
      </c>
      <c r="H102" s="176" t="s">
        <v>548</v>
      </c>
      <c r="I102" s="4"/>
    </row>
    <row r="103" spans="2:11">
      <c r="B103" s="12" t="s">
        <v>195</v>
      </c>
      <c r="F103" s="457">
        <f>事業費/最大出力/1000</f>
        <v>3256.2246175697715</v>
      </c>
      <c r="G103" s="4" t="s">
        <v>180</v>
      </c>
      <c r="H103" s="176" t="s">
        <v>548</v>
      </c>
      <c r="I103" s="4"/>
    </row>
    <row r="104" spans="2:11">
      <c r="B104" s="12" t="s">
        <v>170</v>
      </c>
      <c r="F104" s="458">
        <f>年間発電量*(1-自家消費率)*売電単価FIT</f>
        <v>26061000</v>
      </c>
      <c r="G104" s="4" t="s">
        <v>16</v>
      </c>
      <c r="H104" s="176" t="s">
        <v>548</v>
      </c>
      <c r="I104" s="4"/>
    </row>
    <row r="105" spans="2:11">
      <c r="B105" s="12" t="s">
        <v>547</v>
      </c>
      <c r="F105" s="458">
        <f>年間発電量*(1-自家消費率)*売電単価</f>
        <v>3723000</v>
      </c>
      <c r="G105" s="4" t="s">
        <v>16</v>
      </c>
      <c r="H105" s="176" t="s">
        <v>548</v>
      </c>
      <c r="I105" s="4"/>
    </row>
    <row r="106" spans="2:11">
      <c r="B106" s="12" t="s">
        <v>171</v>
      </c>
      <c r="F106" s="458">
        <f>年間発電量*買電単価*自家消費率</f>
        <v>0</v>
      </c>
      <c r="G106" s="4" t="s">
        <v>16</v>
      </c>
      <c r="H106" s="176" t="s">
        <v>548</v>
      </c>
      <c r="I106" s="4"/>
    </row>
    <row r="107" spans="2:11">
      <c r="B107" s="12" t="s">
        <v>172</v>
      </c>
      <c r="F107" s="458">
        <f>F104+F106</f>
        <v>26061000</v>
      </c>
      <c r="G107" s="4" t="s">
        <v>16</v>
      </c>
      <c r="H107" s="176" t="s">
        <v>548</v>
      </c>
      <c r="I107" s="4"/>
    </row>
    <row r="108" spans="2:11">
      <c r="B108" s="12" t="s">
        <v>173</v>
      </c>
      <c r="F108" s="458">
        <f>F105+F106</f>
        <v>3723000</v>
      </c>
      <c r="G108" s="4" t="s">
        <v>16</v>
      </c>
      <c r="H108" s="176" t="s">
        <v>548</v>
      </c>
      <c r="I108" s="4"/>
    </row>
    <row r="109" spans="2:11">
      <c r="B109" s="12" t="s">
        <v>168</v>
      </c>
      <c r="F109" s="456">
        <f>F102*自家消費率*F57</f>
        <v>0</v>
      </c>
      <c r="G109" s="4" t="s">
        <v>16</v>
      </c>
      <c r="H109" s="176" t="s">
        <v>548</v>
      </c>
      <c r="I109" s="4"/>
    </row>
    <row r="110" spans="2:11">
      <c r="B110" s="12"/>
      <c r="F110" s="456"/>
      <c r="G110" s="4"/>
      <c r="H110" s="177"/>
      <c r="I110" s="4"/>
    </row>
    <row r="111" spans="2:11">
      <c r="B111" s="2" t="s">
        <v>568</v>
      </c>
      <c r="C111" s="7"/>
      <c r="D111" s="7"/>
      <c r="E111" s="7"/>
      <c r="F111" s="43"/>
      <c r="G111" s="8"/>
      <c r="H111" s="2"/>
      <c r="I111" s="8"/>
    </row>
    <row r="112" spans="2:11">
      <c r="B112" s="12" t="s">
        <v>383</v>
      </c>
      <c r="F112" s="459">
        <f>F113+SUM(F14:F18)-補助金合計</f>
        <v>325622461.75697714</v>
      </c>
      <c r="G112" s="4" t="s">
        <v>16</v>
      </c>
      <c r="H112" s="175"/>
      <c r="I112" s="4" t="s">
        <v>569</v>
      </c>
    </row>
    <row r="113" spans="2:9">
      <c r="B113" s="12" t="s">
        <v>401</v>
      </c>
      <c r="F113" s="456">
        <f>IF(工事費計算="自動計算",F146,F63)</f>
        <v>344537558.72728145</v>
      </c>
      <c r="G113" s="4" t="s">
        <v>16</v>
      </c>
      <c r="H113" s="176"/>
      <c r="I113" s="4"/>
    </row>
    <row r="114" spans="2:9">
      <c r="B114" s="12" t="s">
        <v>192</v>
      </c>
      <c r="F114" s="456">
        <f>IF(土木工事費計算="自動計算",F124,F65)</f>
        <v>181767785.51288658</v>
      </c>
      <c r="G114" s="4" t="s">
        <v>16</v>
      </c>
      <c r="H114" s="176"/>
      <c r="I114" s="4"/>
    </row>
    <row r="115" spans="2:9">
      <c r="B115" s="12" t="s">
        <v>400</v>
      </c>
      <c r="F115" s="456">
        <f>IF(建築・機械計算="自動計算",(SUM(F123+F141)),F67)</f>
        <v>31938639.080098201</v>
      </c>
      <c r="G115" s="4" t="s">
        <v>16</v>
      </c>
      <c r="H115" s="176"/>
      <c r="I115" s="4"/>
    </row>
    <row r="116" spans="2:9">
      <c r="B116" s="12" t="s">
        <v>193</v>
      </c>
      <c r="F116" s="456">
        <f>IF(機械原価計算="自動計算",F140,F69)</f>
        <v>75383656.567680955</v>
      </c>
      <c r="G116" s="4" t="s">
        <v>16</v>
      </c>
      <c r="H116" s="176"/>
      <c r="I116" s="4"/>
    </row>
    <row r="117" spans="2:9">
      <c r="B117" s="12" t="s">
        <v>231</v>
      </c>
      <c r="F117" s="456">
        <f>IF(用地取得計算="自動計算",F122,F73)</f>
        <v>14454504.058033288</v>
      </c>
      <c r="G117" s="4" t="s">
        <v>16</v>
      </c>
      <c r="H117" s="176"/>
      <c r="I117" s="4"/>
    </row>
    <row r="118" spans="2:9">
      <c r="B118" s="12" t="s">
        <v>435</v>
      </c>
      <c r="F118" s="456">
        <f>IF(建家自動計算="自動計算",F123,F71)</f>
        <v>3839540.792764951</v>
      </c>
      <c r="G118" s="4"/>
      <c r="H118" s="176"/>
      <c r="I118" s="4"/>
    </row>
    <row r="119" spans="2:9">
      <c r="B119" s="12" t="s">
        <v>194</v>
      </c>
      <c r="F119" s="456">
        <f>IF(その他計算="自動計算",(SUM(F142+F145)),F75)</f>
        <v>40992973.508582406</v>
      </c>
      <c r="G119" s="4" t="s">
        <v>16</v>
      </c>
      <c r="H119" s="176"/>
      <c r="I119" s="4"/>
    </row>
    <row r="120" spans="2:9">
      <c r="B120" s="12"/>
      <c r="F120" s="460"/>
      <c r="G120" s="4"/>
      <c r="H120" s="177"/>
      <c r="I120" s="4"/>
    </row>
    <row r="121" spans="2:9">
      <c r="B121" s="33" t="s">
        <v>599</v>
      </c>
      <c r="C121" s="34"/>
      <c r="D121" s="34"/>
      <c r="E121" s="34"/>
      <c r="F121" s="43"/>
      <c r="G121" s="35"/>
      <c r="H121" s="2" t="s">
        <v>559</v>
      </c>
      <c r="I121" s="8"/>
    </row>
    <row r="122" spans="2:9">
      <c r="B122" s="29" t="s">
        <v>322</v>
      </c>
      <c r="C122" s="11" t="s">
        <v>253</v>
      </c>
      <c r="D122" s="11"/>
      <c r="E122" s="10"/>
      <c r="F122" s="461">
        <f>(F123+F124+F140+F141)*0.05</f>
        <v>14454504.058033288</v>
      </c>
      <c r="G122" s="4" t="s">
        <v>16</v>
      </c>
      <c r="H122" s="176" t="s">
        <v>548</v>
      </c>
      <c r="I122" s="4" t="s">
        <v>531</v>
      </c>
    </row>
    <row r="123" spans="2:9">
      <c r="B123" s="29" t="s">
        <v>323</v>
      </c>
      <c r="C123" s="11" t="s">
        <v>254</v>
      </c>
      <c r="D123" s="11"/>
      <c r="E123" s="10"/>
      <c r="F123" s="461">
        <f>(0.084*最大出力^0.83)*1000000</f>
        <v>3839540.792764951</v>
      </c>
      <c r="G123" s="4" t="s">
        <v>16</v>
      </c>
      <c r="H123" s="176" t="s">
        <v>548</v>
      </c>
      <c r="I123" s="4"/>
    </row>
    <row r="124" spans="2:9">
      <c r="B124" s="29" t="s">
        <v>324</v>
      </c>
      <c r="C124" s="10" t="s">
        <v>192</v>
      </c>
      <c r="D124" s="10"/>
      <c r="E124" s="10"/>
      <c r="F124" s="461">
        <f>SUM(F126:F139)</f>
        <v>181767785.51288658</v>
      </c>
      <c r="G124" s="4" t="s">
        <v>16</v>
      </c>
      <c r="H124" s="176" t="s">
        <v>548</v>
      </c>
      <c r="I124" s="4" t="s">
        <v>532</v>
      </c>
    </row>
    <row r="125" spans="2:9">
      <c r="B125" s="24"/>
      <c r="C125" s="10" t="s">
        <v>328</v>
      </c>
      <c r="D125" s="10" t="s">
        <v>315</v>
      </c>
      <c r="E125" s="10"/>
      <c r="F125" s="462"/>
      <c r="G125" s="28"/>
      <c r="H125" s="176"/>
      <c r="I125" s="4"/>
    </row>
    <row r="126" spans="2:9">
      <c r="B126" s="24"/>
      <c r="C126" s="10"/>
      <c r="D126" s="11" t="s">
        <v>329</v>
      </c>
      <c r="E126" s="16" t="s">
        <v>255</v>
      </c>
      <c r="F126" s="461">
        <f>IF(取水ダム有無="無",0,VLOOKUP(最大出力,パラメータ!E161:F172,2,1))</f>
        <v>0</v>
      </c>
      <c r="G126" s="25" t="s">
        <v>16</v>
      </c>
      <c r="H126" s="176" t="s">
        <v>548</v>
      </c>
      <c r="I126" s="4"/>
    </row>
    <row r="127" spans="2:9">
      <c r="B127" s="24"/>
      <c r="C127" s="10"/>
      <c r="D127" s="11" t="s">
        <v>330</v>
      </c>
      <c r="E127" s="16" t="s">
        <v>256</v>
      </c>
      <c r="F127" s="461">
        <f>(19.7*(((IF(最大使用水量&lt;4.4,1.8,1.036*(最大使用水量^0.375))*最大使用水量)^0.506)))*1000</f>
        <v>14901.843660355162</v>
      </c>
      <c r="G127" s="25" t="s">
        <v>16</v>
      </c>
      <c r="H127" s="176" t="s">
        <v>548</v>
      </c>
      <c r="I127" s="4"/>
    </row>
    <row r="128" spans="2:9">
      <c r="B128" s="24"/>
      <c r="C128" s="10"/>
      <c r="D128" s="11" t="s">
        <v>331</v>
      </c>
      <c r="E128" s="11" t="s">
        <v>257</v>
      </c>
      <c r="F128" s="461">
        <f>(18.2*(最大使用水量^0.379))*1000</f>
        <v>11817.435205641779</v>
      </c>
      <c r="G128" s="25" t="s">
        <v>16</v>
      </c>
      <c r="H128" s="176" t="s">
        <v>548</v>
      </c>
      <c r="I128" s="4"/>
    </row>
    <row r="129" spans="2:9">
      <c r="B129" s="24"/>
      <c r="C129" s="10"/>
      <c r="D129" s="11" t="s">
        <v>332</v>
      </c>
      <c r="E129" s="16" t="s">
        <v>265</v>
      </c>
      <c r="F129" s="461">
        <f>IF(導水路敷設方式="暗渠",((175*(√幅×高さ^1.38))*1000)*導水路延長,((122*(√幅×高さ^1.19))*1000)*導水路延長)</f>
        <v>4042826.0859558848</v>
      </c>
      <c r="G129" s="25" t="s">
        <v>16</v>
      </c>
      <c r="H129" s="176" t="s">
        <v>548</v>
      </c>
      <c r="I129" s="4"/>
    </row>
    <row r="130" spans="2:9">
      <c r="B130" s="24"/>
      <c r="C130" s="10"/>
      <c r="D130" s="11" t="s">
        <v>333</v>
      </c>
      <c r="E130" s="16" t="s">
        <v>270</v>
      </c>
      <c r="F130" s="461">
        <f>IF(水槽形式="なし",0,IF(水槽形式="ヘッドタンク",(29.9*最大使用水量^0.669)*1000000,11.4*((最大使用水量*(サージタンク水深+サージタンク水路延長)^1/4)^0.673)*1000000))</f>
        <v>13951359.307855831</v>
      </c>
      <c r="G130" s="25" t="s">
        <v>16</v>
      </c>
      <c r="H130" s="176" t="s">
        <v>548</v>
      </c>
      <c r="I130" s="4"/>
    </row>
    <row r="131" spans="2:9">
      <c r="B131" s="24"/>
      <c r="C131" s="10"/>
      <c r="D131" s="11" t="s">
        <v>333</v>
      </c>
      <c r="E131" s="16" t="s">
        <v>283</v>
      </c>
      <c r="F131" s="463">
        <f>IF(水圧管種類１="鉄管",鉄管総重量１*水圧管路鉄管単価１,(IF(水圧管敷設方式１="露出",F213,F215))*水圧管延長１)*1000</f>
        <v>96405378.106060401</v>
      </c>
      <c r="G131" s="25" t="s">
        <v>16</v>
      </c>
      <c r="H131" s="176" t="s">
        <v>548</v>
      </c>
      <c r="I131" s="4"/>
    </row>
    <row r="132" spans="2:9">
      <c r="B132" s="24"/>
      <c r="C132" s="10"/>
      <c r="D132" s="11" t="s">
        <v>332</v>
      </c>
      <c r="E132" s="16" t="s">
        <v>284</v>
      </c>
      <c r="F132" s="463">
        <f>IF(水圧管種類２="鉄管",鉄管総重量２*水圧管路鉄管単価２,(IF(水圧管敷設方式２="露出",F213,F215))*水圧管延長２)*1000</f>
        <v>0</v>
      </c>
      <c r="G132" s="25" t="s">
        <v>16</v>
      </c>
      <c r="H132" s="176" t="s">
        <v>548</v>
      </c>
      <c r="I132" s="4"/>
    </row>
    <row r="133" spans="2:9">
      <c r="B133" s="24"/>
      <c r="C133" s="10"/>
      <c r="D133" s="11" t="s">
        <v>333</v>
      </c>
      <c r="E133" s="16" t="s">
        <v>300</v>
      </c>
      <c r="F133" s="461">
        <f>IF(放水路敷設方式="暗渠",((175*(√幅×高さ^1.38))*1000)*放水路延長,((122*(√幅×高さ^1.19))*1000)*放水路延長)</f>
        <v>808565.21719117695</v>
      </c>
      <c r="G133" s="25" t="s">
        <v>16</v>
      </c>
      <c r="H133" s="176" t="s">
        <v>548</v>
      </c>
      <c r="I133" s="4"/>
    </row>
    <row r="134" spans="2:9">
      <c r="B134" s="24"/>
      <c r="C134" s="10"/>
      <c r="D134" s="11" t="s">
        <v>332</v>
      </c>
      <c r="E134" s="16" t="s">
        <v>258</v>
      </c>
      <c r="F134" s="461">
        <f>(IF(放水口ゲート="有",9.6*(((水圧管内径/2)*最大使用水量)^0.613),9.54*(((水圧管内径/2)*最大使用水量)^0.432)))*1000000</f>
        <v>3422518.3157903659</v>
      </c>
      <c r="G134" s="25" t="s">
        <v>16</v>
      </c>
      <c r="H134" s="176" t="s">
        <v>548</v>
      </c>
      <c r="I134" s="4"/>
    </row>
    <row r="135" spans="2:9">
      <c r="B135" s="24"/>
      <c r="C135" s="10"/>
      <c r="D135" s="11" t="s">
        <v>333</v>
      </c>
      <c r="E135" s="16" t="s">
        <v>313</v>
      </c>
      <c r="F135" s="461">
        <f>SUM(F126:F134)*0.05</f>
        <v>5932868.315585983</v>
      </c>
      <c r="G135" s="4" t="s">
        <v>16</v>
      </c>
      <c r="H135" s="176" t="s">
        <v>548</v>
      </c>
      <c r="I135" s="4" t="s">
        <v>533</v>
      </c>
    </row>
    <row r="136" spans="2:9">
      <c r="B136" s="24"/>
      <c r="C136" s="11" t="s">
        <v>334</v>
      </c>
      <c r="D136" s="11" t="s">
        <v>335</v>
      </c>
      <c r="E136" s="10"/>
      <c r="F136" s="464">
        <v>0</v>
      </c>
      <c r="G136" s="4" t="s">
        <v>16</v>
      </c>
      <c r="H136" s="176"/>
      <c r="I136" s="4" t="s">
        <v>619</v>
      </c>
    </row>
    <row r="137" spans="2:9">
      <c r="B137" s="29"/>
      <c r="C137" s="11" t="s">
        <v>336</v>
      </c>
      <c r="D137" s="10" t="s">
        <v>193</v>
      </c>
      <c r="E137" s="10"/>
      <c r="F137" s="462"/>
      <c r="G137" s="4"/>
      <c r="H137" s="183"/>
      <c r="I137" s="4"/>
    </row>
    <row r="138" spans="2:9">
      <c r="B138" s="24"/>
      <c r="C138" s="10"/>
      <c r="D138" s="10" t="s">
        <v>337</v>
      </c>
      <c r="E138" s="11" t="s">
        <v>259</v>
      </c>
      <c r="F138" s="461">
        <f>0.0595*((最大使用水量*(有効落差^2/3)*(主機台数^1/2))^1.49)*1000000</f>
        <v>51883343.540545419</v>
      </c>
      <c r="G138" s="4" t="s">
        <v>16</v>
      </c>
      <c r="H138" s="181"/>
      <c r="I138" s="4"/>
    </row>
    <row r="139" spans="2:9">
      <c r="B139" s="24"/>
      <c r="C139" s="10"/>
      <c r="D139" s="10" t="s">
        <v>338</v>
      </c>
      <c r="E139" s="11" t="s">
        <v>302</v>
      </c>
      <c r="F139" s="461">
        <f>(SUM(F126:F135)+F138)*0.03</f>
        <v>5294207.3450355316</v>
      </c>
      <c r="G139" s="4" t="s">
        <v>16</v>
      </c>
      <c r="H139" s="181"/>
      <c r="I139" s="4" t="s">
        <v>534</v>
      </c>
    </row>
    <row r="140" spans="2:9">
      <c r="B140" s="29" t="s">
        <v>325</v>
      </c>
      <c r="C140" s="10" t="s">
        <v>314</v>
      </c>
      <c r="D140" s="10"/>
      <c r="E140" s="10"/>
      <c r="F140" s="461">
        <f>(VLOOKUP(水車種類,E219:F225,2,0))*1000000</f>
        <v>75383656.567680955</v>
      </c>
      <c r="G140" s="4" t="s">
        <v>16</v>
      </c>
      <c r="H140" s="183"/>
      <c r="I140" s="4"/>
    </row>
    <row r="141" spans="2:9">
      <c r="B141" s="29" t="s">
        <v>326</v>
      </c>
      <c r="C141" s="10" t="s">
        <v>316</v>
      </c>
      <c r="D141" s="10"/>
      <c r="E141" s="10"/>
      <c r="F141" s="461">
        <f>(F123+F124+F140)*0.1+IF(道路新設距離&lt;&gt;0,道路新設距離*F228,0)+IF(トンネル道路新設距離&lt;&gt;0,トンネル道路新設距離*F229,0)+IF(道路改良距離&lt;&gt;0,道路改良距離*F230,0)</f>
        <v>28099098.28733325</v>
      </c>
      <c r="G141" s="4" t="s">
        <v>16</v>
      </c>
      <c r="H141" s="181"/>
      <c r="I141" s="4" t="s">
        <v>535</v>
      </c>
    </row>
    <row r="142" spans="2:9">
      <c r="B142" s="29" t="s">
        <v>327</v>
      </c>
      <c r="C142" s="10" t="s">
        <v>339</v>
      </c>
      <c r="D142" s="10"/>
      <c r="E142" s="10"/>
      <c r="F142" s="461">
        <f>IF(冬季休止有無="有",(F123+F124+F140+F141)*0.17,(F123+F124+F140+F141)*0.13)</f>
        <v>37581710.550886549</v>
      </c>
      <c r="G142" s="4" t="s">
        <v>16</v>
      </c>
      <c r="H142" s="181"/>
      <c r="I142" s="4" t="s">
        <v>536</v>
      </c>
    </row>
    <row r="143" spans="2:9">
      <c r="B143" s="29" t="s">
        <v>344</v>
      </c>
      <c r="C143" s="10" t="s">
        <v>340</v>
      </c>
      <c r="D143" s="10"/>
      <c r="E143" s="10"/>
      <c r="F143" s="461">
        <f>SUM(F122,F123,F124,F140,F141,F142)</f>
        <v>341126295.76958561</v>
      </c>
      <c r="G143" s="4" t="s">
        <v>16</v>
      </c>
      <c r="H143" s="181"/>
      <c r="I143" s="4"/>
    </row>
    <row r="144" spans="2:9">
      <c r="B144" s="29" t="s">
        <v>345</v>
      </c>
      <c r="C144" s="10" t="s">
        <v>341</v>
      </c>
      <c r="D144" s="10"/>
      <c r="E144" s="10"/>
      <c r="F144" s="461">
        <v>0</v>
      </c>
      <c r="G144" s="4" t="s">
        <v>16</v>
      </c>
      <c r="H144" s="181"/>
      <c r="I144" s="4"/>
    </row>
    <row r="145" spans="2:9">
      <c r="B145" s="29" t="s">
        <v>346</v>
      </c>
      <c r="C145" s="10" t="s">
        <v>342</v>
      </c>
      <c r="D145" s="10"/>
      <c r="E145" s="10"/>
      <c r="F145" s="461">
        <f>F143*0.01</f>
        <v>3411262.9576958562</v>
      </c>
      <c r="G145" s="4" t="s">
        <v>16</v>
      </c>
      <c r="H145" s="181"/>
      <c r="I145" s="4" t="s">
        <v>537</v>
      </c>
    </row>
    <row r="146" spans="2:9">
      <c r="B146" s="30" t="s">
        <v>347</v>
      </c>
      <c r="C146" s="31" t="s">
        <v>343</v>
      </c>
      <c r="D146" s="31"/>
      <c r="E146" s="31"/>
      <c r="F146" s="465">
        <f>SUM(F143,F144,F145)*設置サイト数</f>
        <v>344537558.72728145</v>
      </c>
      <c r="G146" s="32" t="s">
        <v>16</v>
      </c>
      <c r="H146" s="177"/>
      <c r="I146" s="36"/>
    </row>
    <row r="147" spans="2:9" s="53" customFormat="1" hidden="1">
      <c r="B147" s="203"/>
      <c r="C147" s="54"/>
      <c r="D147" s="54"/>
      <c r="E147" s="54"/>
      <c r="F147" s="407"/>
      <c r="G147" s="54"/>
    </row>
    <row r="148" spans="2:9" s="53" customFormat="1" hidden="1">
      <c r="B148" s="48" t="s">
        <v>386</v>
      </c>
      <c r="C148" s="54"/>
      <c r="D148" s="54"/>
      <c r="E148" s="54"/>
      <c r="F148" s="407"/>
      <c r="G148" s="54"/>
    </row>
    <row r="149" spans="2:9" s="53" customFormat="1" hidden="1">
      <c r="B149" s="48" t="s">
        <v>505</v>
      </c>
      <c r="C149" s="54"/>
      <c r="D149" s="54"/>
      <c r="E149" s="54"/>
      <c r="F149" s="407" t="s">
        <v>506</v>
      </c>
      <c r="G149" s="54"/>
    </row>
    <row r="150" spans="2:9" s="53" customFormat="1" hidden="1">
      <c r="B150" s="48"/>
      <c r="C150" s="54"/>
      <c r="D150" s="54"/>
      <c r="E150" s="54"/>
      <c r="F150" s="407" t="s">
        <v>507</v>
      </c>
      <c r="G150" s="54"/>
    </row>
    <row r="151" spans="2:9" s="53" customFormat="1" hidden="1">
      <c r="B151" s="48"/>
      <c r="C151" s="54"/>
      <c r="D151" s="54"/>
      <c r="E151" s="54"/>
      <c r="F151" s="407"/>
      <c r="G151" s="54"/>
    </row>
    <row r="152" spans="2:9" s="53" customFormat="1" hidden="1">
      <c r="B152" s="54" t="s">
        <v>399</v>
      </c>
      <c r="C152" s="54"/>
      <c r="D152" s="54"/>
      <c r="E152" s="54"/>
      <c r="F152" s="407" t="s">
        <v>384</v>
      </c>
      <c r="G152" s="54"/>
    </row>
    <row r="153" spans="2:9" s="53" customFormat="1" hidden="1">
      <c r="B153" s="54"/>
      <c r="C153" s="54"/>
      <c r="D153" s="54"/>
      <c r="E153" s="54"/>
      <c r="F153" s="407" t="s">
        <v>385</v>
      </c>
      <c r="G153" s="54"/>
    </row>
    <row r="154" spans="2:9" s="47" customFormat="1" hidden="1">
      <c r="B154" s="47" t="s">
        <v>416</v>
      </c>
      <c r="C154" s="48"/>
      <c r="D154" s="48"/>
      <c r="F154" s="408">
        <f>9.8*常時使用水量*有効落差</f>
        <v>49.391999999999996</v>
      </c>
      <c r="G154" s="48" t="s">
        <v>418</v>
      </c>
    </row>
    <row r="155" spans="2:9" s="47" customFormat="1" hidden="1">
      <c r="B155" s="47" t="s">
        <v>417</v>
      </c>
      <c r="C155" s="48"/>
      <c r="D155" s="48"/>
      <c r="F155" s="408">
        <f>9.8*最大使用水量*有効落差</f>
        <v>131.71200000000002</v>
      </c>
      <c r="G155" s="48" t="s">
        <v>418</v>
      </c>
    </row>
    <row r="156" spans="2:9" s="47" customFormat="1" hidden="1">
      <c r="C156" s="48"/>
      <c r="D156" s="48"/>
      <c r="F156" s="408"/>
      <c r="G156" s="48"/>
    </row>
    <row r="157" spans="2:9" s="47" customFormat="1" hidden="1">
      <c r="B157" s="49" t="s">
        <v>267</v>
      </c>
      <c r="C157" s="48"/>
      <c r="D157" s="48"/>
      <c r="F157" s="409">
        <f>1.09*(最大使用水量^0.379)</f>
        <v>0.70774749308513962</v>
      </c>
      <c r="G157" s="48" t="s">
        <v>268</v>
      </c>
    </row>
    <row r="158" spans="2:9" s="47" customFormat="1" hidden="1">
      <c r="B158" s="49"/>
      <c r="C158" s="48"/>
      <c r="D158" s="48"/>
      <c r="F158" s="409"/>
      <c r="G158" s="48"/>
    </row>
    <row r="159" spans="2:9" s="47" customFormat="1" hidden="1">
      <c r="B159" s="50" t="s">
        <v>264</v>
      </c>
      <c r="C159" s="48"/>
      <c r="D159" s="48"/>
      <c r="F159" s="410"/>
      <c r="G159" s="48"/>
    </row>
    <row r="160" spans="2:9" s="47" customFormat="1" hidden="1">
      <c r="C160" s="48"/>
      <c r="D160" s="48"/>
      <c r="E160" s="51" t="s">
        <v>263</v>
      </c>
      <c r="F160" s="411" t="s">
        <v>289</v>
      </c>
      <c r="G160" s="48"/>
    </row>
    <row r="161" spans="2:7" s="47" customFormat="1" hidden="1">
      <c r="B161" s="48"/>
      <c r="C161" s="48"/>
      <c r="D161" s="48"/>
      <c r="E161" s="52">
        <v>0</v>
      </c>
      <c r="F161" s="412">
        <v>29000000</v>
      </c>
      <c r="G161" s="48"/>
    </row>
    <row r="162" spans="2:7" s="47" customFormat="1" hidden="1">
      <c r="B162" s="48"/>
      <c r="C162" s="48"/>
      <c r="D162" s="48"/>
      <c r="E162" s="52">
        <v>199</v>
      </c>
      <c r="F162" s="412">
        <v>29000000</v>
      </c>
      <c r="G162" s="48"/>
    </row>
    <row r="163" spans="2:7" s="47" customFormat="1" hidden="1">
      <c r="B163" s="48"/>
      <c r="C163" s="48"/>
      <c r="D163" s="48"/>
      <c r="E163" s="52">
        <v>200</v>
      </c>
      <c r="F163" s="412">
        <v>76000000</v>
      </c>
      <c r="G163" s="48"/>
    </row>
    <row r="164" spans="2:7" s="47" customFormat="1" hidden="1">
      <c r="B164" s="48"/>
      <c r="C164" s="48"/>
      <c r="D164" s="48"/>
      <c r="E164" s="52">
        <v>499</v>
      </c>
      <c r="F164" s="412">
        <v>76000000</v>
      </c>
      <c r="G164" s="48"/>
    </row>
    <row r="165" spans="2:7" s="47" customFormat="1" hidden="1">
      <c r="B165" s="48"/>
      <c r="C165" s="48"/>
      <c r="D165" s="48"/>
      <c r="E165" s="52">
        <v>500</v>
      </c>
      <c r="F165" s="412">
        <v>179000000</v>
      </c>
      <c r="G165" s="48"/>
    </row>
    <row r="166" spans="2:7" s="47" customFormat="1" hidden="1">
      <c r="B166" s="48"/>
      <c r="C166" s="48"/>
      <c r="D166" s="48"/>
      <c r="E166" s="52">
        <v>999</v>
      </c>
      <c r="F166" s="412">
        <v>179000000</v>
      </c>
      <c r="G166" s="48"/>
    </row>
    <row r="167" spans="2:7" s="47" customFormat="1" hidden="1">
      <c r="B167" s="48"/>
      <c r="C167" s="48"/>
      <c r="D167" s="48"/>
      <c r="E167" s="52">
        <v>1000</v>
      </c>
      <c r="F167" s="412">
        <v>241000000</v>
      </c>
      <c r="G167" s="48"/>
    </row>
    <row r="168" spans="2:7" s="47" customFormat="1" hidden="1">
      <c r="B168" s="48"/>
      <c r="C168" s="48"/>
      <c r="D168" s="48"/>
      <c r="E168" s="52">
        <v>1499</v>
      </c>
      <c r="F168" s="412">
        <v>241000000</v>
      </c>
      <c r="G168" s="48"/>
    </row>
    <row r="169" spans="2:7" s="47" customFormat="1" hidden="1">
      <c r="B169" s="48"/>
      <c r="C169" s="48"/>
      <c r="D169" s="48"/>
      <c r="E169" s="52">
        <v>1500</v>
      </c>
      <c r="F169" s="412">
        <v>336000000</v>
      </c>
      <c r="G169" s="48"/>
    </row>
    <row r="170" spans="2:7" s="47" customFormat="1" hidden="1">
      <c r="B170" s="48"/>
      <c r="C170" s="48"/>
      <c r="D170" s="48"/>
      <c r="E170" s="52">
        <v>1999</v>
      </c>
      <c r="F170" s="412">
        <v>336000000</v>
      </c>
      <c r="G170" s="48"/>
    </row>
    <row r="171" spans="2:7" s="47" customFormat="1" hidden="1">
      <c r="B171" s="48"/>
      <c r="C171" s="48"/>
      <c r="D171" s="48"/>
      <c r="E171" s="52">
        <v>2000</v>
      </c>
      <c r="F171" s="412">
        <v>507000000</v>
      </c>
      <c r="G171" s="48"/>
    </row>
    <row r="172" spans="2:7" s="47" customFormat="1" hidden="1">
      <c r="B172" s="48"/>
      <c r="C172" s="48"/>
      <c r="D172" s="48"/>
      <c r="E172" s="52">
        <v>3000</v>
      </c>
      <c r="F172" s="412">
        <v>507000000</v>
      </c>
      <c r="G172" s="48"/>
    </row>
    <row r="173" spans="2:7" s="47" customFormat="1" hidden="1">
      <c r="B173" s="48"/>
      <c r="C173" s="48"/>
      <c r="D173" s="48"/>
      <c r="E173" s="48"/>
      <c r="F173" s="408"/>
      <c r="G173" s="48"/>
    </row>
    <row r="174" spans="2:7" s="47" customFormat="1" hidden="1">
      <c r="B174" s="48"/>
      <c r="C174" s="48"/>
      <c r="D174" s="48"/>
      <c r="E174" s="48" t="s">
        <v>286</v>
      </c>
      <c r="F174" s="409"/>
      <c r="G174" s="48"/>
    </row>
    <row r="175" spans="2:7" s="47" customFormat="1" hidden="1">
      <c r="B175" s="48"/>
      <c r="C175" s="48"/>
      <c r="D175" s="48"/>
      <c r="E175" s="48" t="s">
        <v>381</v>
      </c>
      <c r="F175" s="413" t="s">
        <v>285</v>
      </c>
      <c r="G175" s="48"/>
    </row>
    <row r="176" spans="2:7" s="47" customFormat="1" hidden="1">
      <c r="B176" s="48"/>
      <c r="C176" s="48"/>
      <c r="D176" s="48"/>
      <c r="E176" s="172">
        <v>0</v>
      </c>
      <c r="F176" s="409">
        <f>0.0003*有効落差+0.04</f>
        <v>5.2600000000000001E-2</v>
      </c>
      <c r="G176" s="48"/>
    </row>
    <row r="177" spans="2:7" s="47" customFormat="1" hidden="1">
      <c r="B177" s="48"/>
      <c r="C177" s="48"/>
      <c r="D177" s="48"/>
      <c r="E177" s="172">
        <v>1</v>
      </c>
      <c r="F177" s="409">
        <f>0.0003*有効落差+0.04</f>
        <v>5.2600000000000001E-2</v>
      </c>
      <c r="G177" s="48"/>
    </row>
    <row r="178" spans="2:7" s="47" customFormat="1" hidden="1">
      <c r="B178" s="48"/>
      <c r="C178" s="48"/>
      <c r="D178" s="48"/>
      <c r="E178" s="172">
        <v>2</v>
      </c>
      <c r="F178" s="409">
        <f>0.0006*有効落差+0.08</f>
        <v>0.1052</v>
      </c>
      <c r="G178" s="48"/>
    </row>
    <row r="179" spans="2:7" s="47" customFormat="1" hidden="1">
      <c r="B179" s="48"/>
      <c r="C179" s="48"/>
      <c r="D179" s="48"/>
      <c r="E179" s="172">
        <v>3</v>
      </c>
      <c r="F179" s="409">
        <f>0.0009*有効落差+0.12</f>
        <v>0.1578</v>
      </c>
      <c r="G179" s="48"/>
    </row>
    <row r="180" spans="2:7" s="47" customFormat="1" hidden="1">
      <c r="B180" s="48"/>
      <c r="C180" s="48"/>
      <c r="D180" s="48"/>
      <c r="E180" s="173">
        <v>4</v>
      </c>
      <c r="F180" s="409">
        <f>0.0012*有効落差+0.14</f>
        <v>0.19040000000000001</v>
      </c>
      <c r="G180" s="48"/>
    </row>
    <row r="181" spans="2:7" s="47" customFormat="1" hidden="1">
      <c r="B181" s="48"/>
      <c r="C181" s="48"/>
      <c r="D181" s="48"/>
      <c r="E181" s="173">
        <v>5</v>
      </c>
      <c r="F181" s="409">
        <f>0.0014*有効落差+0.16</f>
        <v>0.21879999999999999</v>
      </c>
      <c r="G181" s="48"/>
    </row>
    <row r="182" spans="2:7" s="47" customFormat="1" hidden="1">
      <c r="B182" s="48"/>
      <c r="C182" s="48"/>
      <c r="D182" s="48"/>
      <c r="E182" s="173">
        <v>6</v>
      </c>
      <c r="F182" s="409">
        <f>0.0017*有効落差+0.17</f>
        <v>0.2414</v>
      </c>
      <c r="G182" s="48"/>
    </row>
    <row r="183" spans="2:7" s="47" customFormat="1" hidden="1">
      <c r="B183" s="48"/>
      <c r="C183" s="48"/>
      <c r="D183" s="48"/>
      <c r="E183" s="173">
        <v>7</v>
      </c>
      <c r="F183" s="409">
        <f>0.002*有効落差+0.18</f>
        <v>0.26400000000000001</v>
      </c>
      <c r="G183" s="48"/>
    </row>
    <row r="184" spans="2:7" s="47" customFormat="1" hidden="1">
      <c r="B184" s="48"/>
      <c r="C184" s="48"/>
      <c r="D184" s="48"/>
      <c r="E184" s="173">
        <v>8</v>
      </c>
      <c r="F184" s="409">
        <f>0.0023*有効落差+0.19</f>
        <v>0.28659999999999997</v>
      </c>
      <c r="G184" s="48"/>
    </row>
    <row r="185" spans="2:7" s="47" customFormat="1" hidden="1">
      <c r="B185" s="48"/>
      <c r="C185" s="48"/>
      <c r="D185" s="48"/>
      <c r="E185" s="173">
        <v>9</v>
      </c>
      <c r="F185" s="409">
        <f>0.0026*有効落差+0.19</f>
        <v>0.29920000000000002</v>
      </c>
      <c r="G185" s="48"/>
    </row>
    <row r="186" spans="2:7" s="47" customFormat="1" hidden="1">
      <c r="B186" s="48"/>
      <c r="C186" s="48"/>
      <c r="D186" s="48"/>
      <c r="E186" s="173">
        <v>10</v>
      </c>
      <c r="F186" s="409">
        <f>0.0029*有効落差+0.2</f>
        <v>0.32179999999999997</v>
      </c>
      <c r="G186" s="48"/>
    </row>
    <row r="187" spans="2:7" s="47" customFormat="1" hidden="1">
      <c r="B187" s="48"/>
      <c r="C187" s="48"/>
      <c r="D187" s="48"/>
      <c r="E187" s="173">
        <v>12</v>
      </c>
      <c r="F187" s="409">
        <f>0.0035*有効落差+0.21</f>
        <v>0.35699999999999998</v>
      </c>
      <c r="G187" s="48"/>
    </row>
    <row r="188" spans="2:7" s="47" customFormat="1" hidden="1">
      <c r="B188" s="48"/>
      <c r="C188" s="48"/>
      <c r="D188" s="48"/>
      <c r="E188" s="173">
        <v>14</v>
      </c>
      <c r="F188" s="409">
        <f>0.004*有効落差+0.23</f>
        <v>0.39800000000000002</v>
      </c>
      <c r="G188" s="48"/>
    </row>
    <row r="189" spans="2:7" s="47" customFormat="1" hidden="1">
      <c r="B189" s="48"/>
      <c r="C189" s="48"/>
      <c r="D189" s="48"/>
      <c r="E189" s="173">
        <v>16</v>
      </c>
      <c r="F189" s="409">
        <f>0.0045*有効落差+0.25</f>
        <v>0.43899999999999995</v>
      </c>
      <c r="G189" s="48"/>
    </row>
    <row r="190" spans="2:7" s="47" customFormat="1" hidden="1">
      <c r="B190" s="48"/>
      <c r="C190" s="48"/>
      <c r="D190" s="48"/>
      <c r="E190" s="173">
        <v>18</v>
      </c>
      <c r="F190" s="409">
        <f>0.0051*有効落差+0.26</f>
        <v>0.47420000000000001</v>
      </c>
      <c r="G190" s="48"/>
    </row>
    <row r="191" spans="2:7" s="47" customFormat="1" hidden="1">
      <c r="B191" s="48"/>
      <c r="C191" s="48"/>
      <c r="D191" s="48"/>
      <c r="E191" s="173">
        <v>20</v>
      </c>
      <c r="F191" s="409">
        <f>0.0056*有効落差+0.28</f>
        <v>0.51519999999999999</v>
      </c>
      <c r="G191" s="48"/>
    </row>
    <row r="192" spans="2:7" s="47" customFormat="1" hidden="1">
      <c r="B192" s="48"/>
      <c r="C192" s="48"/>
      <c r="D192" s="48"/>
      <c r="E192" s="173">
        <v>30</v>
      </c>
      <c r="F192" s="409">
        <f>0.0083*有効落差+0.34</f>
        <v>0.6886000000000001</v>
      </c>
      <c r="G192" s="48"/>
    </row>
    <row r="193" spans="2:7" s="47" customFormat="1" hidden="1">
      <c r="B193" s="48"/>
      <c r="C193" s="48"/>
      <c r="D193" s="48"/>
      <c r="E193" s="173">
        <v>40</v>
      </c>
      <c r="F193" s="409">
        <f>0.0107*有効落差+0.41</f>
        <v>0.85939999999999994</v>
      </c>
      <c r="G193" s="48"/>
    </row>
    <row r="194" spans="2:7" s="47" customFormat="1" hidden="1">
      <c r="B194" s="48"/>
      <c r="C194" s="48"/>
      <c r="D194" s="48"/>
      <c r="E194" s="173">
        <v>50</v>
      </c>
      <c r="F194" s="409">
        <f>0.0134*有効落差+0.44</f>
        <v>1.0027999999999999</v>
      </c>
      <c r="G194" s="48"/>
    </row>
    <row r="195" spans="2:7" s="47" customFormat="1" hidden="1">
      <c r="B195" s="48"/>
      <c r="C195" s="48"/>
      <c r="D195" s="48"/>
      <c r="E195" s="49"/>
      <c r="F195" s="409"/>
      <c r="G195" s="48"/>
    </row>
    <row r="196" spans="2:7" s="47" customFormat="1" hidden="1">
      <c r="B196" s="48"/>
      <c r="C196" s="48"/>
      <c r="D196" s="48"/>
      <c r="E196" s="49" t="s">
        <v>291</v>
      </c>
      <c r="F196" s="409">
        <f>(VLOOKUP(最大使用水量,E176:F194,2,1))*水圧管延長１</f>
        <v>26.3</v>
      </c>
      <c r="G196" s="48"/>
    </row>
    <row r="197" spans="2:7" s="47" customFormat="1" hidden="1">
      <c r="B197" s="48"/>
      <c r="C197" s="48"/>
      <c r="D197" s="48"/>
      <c r="E197" s="49" t="s">
        <v>290</v>
      </c>
      <c r="F197" s="414">
        <f>1950*F196^-0.147</f>
        <v>1205.8717369151882</v>
      </c>
      <c r="G197" s="48"/>
    </row>
    <row r="198" spans="2:7" s="47" customFormat="1" hidden="1">
      <c r="B198" s="48"/>
      <c r="C198" s="48"/>
      <c r="D198" s="48"/>
      <c r="E198" s="49" t="s">
        <v>292</v>
      </c>
      <c r="F198" s="409">
        <f>IF(水圧管延長２=0,0,(VLOOKUP(最大使用水量,E176:F194,2,1))*水圧管延長２)</f>
        <v>0</v>
      </c>
      <c r="G198" s="48"/>
    </row>
    <row r="199" spans="2:7" s="47" customFormat="1" hidden="1">
      <c r="B199" s="48"/>
      <c r="C199" s="48"/>
      <c r="D199" s="48"/>
      <c r="E199" s="49" t="s">
        <v>293</v>
      </c>
      <c r="F199" s="414">
        <f>IF(鉄管総重量２=0,0,1950*F198^-0.147)</f>
        <v>0</v>
      </c>
      <c r="G199" s="48"/>
    </row>
    <row r="200" spans="2:7" s="47" customFormat="1" hidden="1">
      <c r="B200" s="48"/>
      <c r="C200" s="48"/>
      <c r="D200" s="48"/>
      <c r="E200" s="49"/>
      <c r="F200" s="408"/>
      <c r="G200" s="48"/>
    </row>
    <row r="201" spans="2:7" s="47" customFormat="1" hidden="1">
      <c r="B201" s="48"/>
      <c r="C201" s="48"/>
      <c r="D201" s="48" t="s">
        <v>287</v>
      </c>
      <c r="E201" s="48"/>
      <c r="F201" s="408"/>
      <c r="G201" s="48"/>
    </row>
    <row r="202" spans="2:7" s="47" customFormat="1" hidden="1">
      <c r="B202" s="48"/>
      <c r="C202" s="48"/>
      <c r="D202" s="48"/>
      <c r="E202" s="48" t="s">
        <v>260</v>
      </c>
      <c r="F202" s="408" t="s">
        <v>351</v>
      </c>
      <c r="G202" s="48"/>
    </row>
    <row r="203" spans="2:7" s="47" customFormat="1" hidden="1">
      <c r="B203" s="48"/>
      <c r="C203" s="48"/>
      <c r="D203" s="48"/>
      <c r="E203" s="48">
        <v>0</v>
      </c>
      <c r="F203" s="409">
        <f>0.888*最大使用水量^0.37</f>
        <v>0.58253021667375537</v>
      </c>
      <c r="G203" s="48"/>
    </row>
    <row r="204" spans="2:7" s="47" customFormat="1" hidden="1">
      <c r="B204" s="48"/>
      <c r="C204" s="48"/>
      <c r="D204" s="48"/>
      <c r="E204" s="48">
        <v>50</v>
      </c>
      <c r="F204" s="409">
        <f>0.888*最大使用水量^0.37</f>
        <v>0.58253021667375537</v>
      </c>
      <c r="G204" s="48"/>
    </row>
    <row r="205" spans="2:7" s="47" customFormat="1" hidden="1">
      <c r="B205" s="48"/>
      <c r="C205" s="48"/>
      <c r="D205" s="48"/>
      <c r="E205" s="48">
        <v>100</v>
      </c>
      <c r="F205" s="409">
        <f>0.876*最大使用水量^0.367</f>
        <v>0.57662590364605082</v>
      </c>
      <c r="G205" s="48"/>
    </row>
    <row r="206" spans="2:7" s="47" customFormat="1" hidden="1">
      <c r="B206" s="48"/>
      <c r="C206" s="48"/>
      <c r="D206" s="48"/>
      <c r="E206" s="49">
        <v>200</v>
      </c>
      <c r="F206" s="409">
        <f>0.853*最大使用水量^0.361</f>
        <v>0.56533799372137294</v>
      </c>
      <c r="G206" s="48"/>
    </row>
    <row r="207" spans="2:7" s="47" customFormat="1" hidden="1">
      <c r="B207" s="48"/>
      <c r="C207" s="48"/>
      <c r="D207" s="48"/>
      <c r="E207" s="49">
        <v>300</v>
      </c>
      <c r="F207" s="409">
        <f>0.841*最大使用水量^0.355</f>
        <v>0.56120849731293765</v>
      </c>
      <c r="G207" s="48"/>
    </row>
    <row r="208" spans="2:7" s="47" customFormat="1" hidden="1">
      <c r="B208" s="48"/>
      <c r="C208" s="48"/>
      <c r="D208" s="48"/>
      <c r="E208" s="48"/>
      <c r="F208" s="408"/>
      <c r="G208" s="48"/>
    </row>
    <row r="209" spans="2:7" s="47" customFormat="1" hidden="1">
      <c r="B209" s="48"/>
      <c r="C209" s="48"/>
      <c r="D209" s="48"/>
      <c r="E209" s="49" t="s">
        <v>351</v>
      </c>
      <c r="F209" s="409">
        <f>VLOOKUP(最大使用水量,E203:F207,2,1)</f>
        <v>0.58253021667375537</v>
      </c>
      <c r="G209" s="48"/>
    </row>
    <row r="210" spans="2:7" s="47" customFormat="1" hidden="1">
      <c r="B210" s="48"/>
      <c r="C210" s="48"/>
      <c r="D210" s="48"/>
      <c r="E210" s="49"/>
      <c r="F210" s="409"/>
      <c r="G210" s="48"/>
    </row>
    <row r="211" spans="2:7" s="47" customFormat="1" hidden="1">
      <c r="B211" s="48"/>
      <c r="C211" s="48"/>
      <c r="D211" s="49" t="s">
        <v>298</v>
      </c>
      <c r="E211" s="48"/>
      <c r="F211" s="408"/>
      <c r="G211" s="48"/>
    </row>
    <row r="212" spans="2:7" s="47" customFormat="1" hidden="1">
      <c r="B212" s="48"/>
      <c r="C212" s="48"/>
      <c r="D212" s="48"/>
      <c r="E212" s="49" t="s">
        <v>299</v>
      </c>
      <c r="F212" s="408" t="s">
        <v>350</v>
      </c>
      <c r="G212" s="48"/>
    </row>
    <row r="213" spans="2:7" s="47" customFormat="1" hidden="1">
      <c r="B213" s="48"/>
      <c r="C213" s="48"/>
      <c r="D213" s="48"/>
      <c r="E213" s="48" t="s">
        <v>294</v>
      </c>
      <c r="F213" s="408">
        <f>357*F209^1.14</f>
        <v>192.81075621212079</v>
      </c>
      <c r="G213" s="48"/>
    </row>
    <row r="214" spans="2:7" s="47" customFormat="1" hidden="1">
      <c r="B214" s="48"/>
      <c r="C214" s="48"/>
      <c r="D214" s="48"/>
      <c r="E214" s="48" t="s">
        <v>295</v>
      </c>
      <c r="F214" s="408">
        <f>282*F209^1.18</f>
        <v>149.04756607895692</v>
      </c>
      <c r="G214" s="48"/>
    </row>
    <row r="215" spans="2:7" s="47" customFormat="1" hidden="1">
      <c r="B215" s="48"/>
      <c r="C215" s="48"/>
      <c r="D215" s="48"/>
      <c r="E215" s="48" t="s">
        <v>296</v>
      </c>
      <c r="F215" s="408">
        <f>538*F209^0.858</f>
        <v>338.39622720259422</v>
      </c>
      <c r="G215" s="48"/>
    </row>
    <row r="216" spans="2:7" s="47" customFormat="1" hidden="1">
      <c r="B216" s="48"/>
      <c r="C216" s="48"/>
      <c r="D216" s="48"/>
      <c r="E216" s="48"/>
      <c r="F216" s="408"/>
      <c r="G216" s="48"/>
    </row>
    <row r="217" spans="2:7" s="47" customFormat="1" hidden="1">
      <c r="B217" s="48"/>
      <c r="C217" s="48"/>
      <c r="D217" s="48" t="s">
        <v>348</v>
      </c>
      <c r="E217" s="48"/>
      <c r="F217" s="408"/>
      <c r="G217" s="48"/>
    </row>
    <row r="218" spans="2:7" s="47" customFormat="1" hidden="1">
      <c r="B218" s="48"/>
      <c r="C218" s="48"/>
      <c r="D218" s="48"/>
      <c r="E218" s="48" t="s">
        <v>305</v>
      </c>
      <c r="F218" s="408" t="s">
        <v>349</v>
      </c>
      <c r="G218" s="48"/>
    </row>
    <row r="219" spans="2:7" s="47" customFormat="1" hidden="1">
      <c r="B219" s="48"/>
      <c r="C219" s="48"/>
      <c r="D219" s="48"/>
      <c r="E219" s="48" t="s">
        <v>306</v>
      </c>
      <c r="F219" s="415">
        <f>26.8*((最大出力/(SQRT(有効落差)))^0.612)</f>
        <v>143.02781733308498</v>
      </c>
      <c r="G219" s="48"/>
    </row>
    <row r="220" spans="2:7" s="47" customFormat="1" hidden="1">
      <c r="B220" s="48"/>
      <c r="C220" s="48"/>
      <c r="D220" s="48"/>
      <c r="E220" s="48" t="s">
        <v>311</v>
      </c>
      <c r="F220" s="415">
        <f>8.9*((最大出力/(SQRT(有効落差)))^0.725)</f>
        <v>64.708620131073033</v>
      </c>
      <c r="G220" s="48"/>
    </row>
    <row r="221" spans="2:7" s="47" customFormat="1" hidden="1">
      <c r="B221" s="48"/>
      <c r="C221" s="48"/>
      <c r="D221" s="48"/>
      <c r="E221" s="48" t="s">
        <v>307</v>
      </c>
      <c r="F221" s="415">
        <f>8.9*((最大出力/(SQRT(有効落差)))^0.725)</f>
        <v>64.708620131073033</v>
      </c>
      <c r="G221" s="48"/>
    </row>
    <row r="222" spans="2:7" s="47" customFormat="1" hidden="1">
      <c r="B222" s="48"/>
      <c r="C222" s="48"/>
      <c r="D222" s="48"/>
      <c r="E222" s="48" t="s">
        <v>308</v>
      </c>
      <c r="F222" s="415">
        <f>8.9*((最大出力/(SQRT(有効落差)))^0.725)</f>
        <v>64.708620131073033</v>
      </c>
      <c r="G222" s="48"/>
    </row>
    <row r="223" spans="2:7" s="47" customFormat="1" hidden="1">
      <c r="B223" s="48"/>
      <c r="C223" s="48"/>
      <c r="D223" s="48"/>
      <c r="E223" s="48" t="s">
        <v>312</v>
      </c>
      <c r="F223" s="415">
        <f>12.8*((最大出力/(SQRT(有効落差)))^0.648)</f>
        <v>75.383656567680958</v>
      </c>
      <c r="G223" s="48"/>
    </row>
    <row r="224" spans="2:7" s="47" customFormat="1" hidden="1">
      <c r="B224" s="48"/>
      <c r="C224" s="48"/>
      <c r="D224" s="48"/>
      <c r="E224" s="48" t="s">
        <v>309</v>
      </c>
      <c r="F224" s="415">
        <f>12.8*((最大出力/(SQRT(有効落差)))^0.648)</f>
        <v>75.383656567680958</v>
      </c>
      <c r="G224" s="48"/>
    </row>
    <row r="225" spans="1:7" s="47" customFormat="1" hidden="1">
      <c r="B225" s="48"/>
      <c r="C225" s="48"/>
      <c r="D225" s="48"/>
      <c r="E225" s="48" t="s">
        <v>310</v>
      </c>
      <c r="F225" s="415">
        <f>12.8*((最大出力/(SQRT(有効落差)))^0.648)</f>
        <v>75.383656567680958</v>
      </c>
      <c r="G225" s="48"/>
    </row>
    <row r="226" spans="1:7" s="47" customFormat="1" hidden="1">
      <c r="B226" s="48"/>
      <c r="C226" s="48"/>
      <c r="D226" s="48"/>
      <c r="E226" s="48"/>
      <c r="F226" s="408"/>
      <c r="G226" s="48"/>
    </row>
    <row r="227" spans="1:7" s="47" customFormat="1" hidden="1">
      <c r="B227" s="48"/>
      <c r="C227" s="48"/>
      <c r="D227" s="48" t="s">
        <v>352</v>
      </c>
      <c r="E227" s="48"/>
      <c r="F227" s="408" t="s">
        <v>354</v>
      </c>
      <c r="G227" s="48"/>
    </row>
    <row r="228" spans="1:7" s="47" customFormat="1" hidden="1">
      <c r="B228" s="48"/>
      <c r="C228" s="48"/>
      <c r="D228" s="48"/>
      <c r="E228" s="48" t="s">
        <v>353</v>
      </c>
      <c r="F228" s="408">
        <v>200000</v>
      </c>
      <c r="G228" s="48"/>
    </row>
    <row r="229" spans="1:7" s="47" customFormat="1" hidden="1">
      <c r="B229" s="48"/>
      <c r="C229" s="48"/>
      <c r="D229" s="48"/>
      <c r="E229" s="48" t="s">
        <v>355</v>
      </c>
      <c r="F229" s="408">
        <v>1000000</v>
      </c>
      <c r="G229" s="48"/>
    </row>
    <row r="230" spans="1:7" s="47" customFormat="1" hidden="1">
      <c r="B230" s="48"/>
      <c r="C230" s="48"/>
      <c r="D230" s="48"/>
      <c r="E230" s="48" t="s">
        <v>356</v>
      </c>
      <c r="F230" s="408">
        <v>100000</v>
      </c>
      <c r="G230" s="48"/>
    </row>
    <row r="231" spans="1:7" s="15" customFormat="1" ht="16" hidden="1" customHeight="1">
      <c r="A231" s="47"/>
      <c r="B231" s="47"/>
      <c r="C231" s="47"/>
      <c r="D231" s="47"/>
      <c r="E231" s="47"/>
      <c r="F231" s="416"/>
    </row>
    <row r="232" spans="1:7" s="15" customFormat="1" hidden="1">
      <c r="F232" s="417"/>
    </row>
    <row r="233" spans="1:7" s="15" customFormat="1">
      <c r="B233" s="15" t="s">
        <v>612</v>
      </c>
      <c r="F233" s="417"/>
    </row>
    <row r="234" spans="1:7" s="15" customFormat="1">
      <c r="F234" s="417"/>
    </row>
    <row r="235" spans="1:7" s="15" customFormat="1">
      <c r="F235" s="417"/>
    </row>
    <row r="236" spans="1:7" s="15" customFormat="1">
      <c r="F236" s="417"/>
    </row>
    <row r="237" spans="1:7" s="15" customFormat="1">
      <c r="F237" s="417"/>
    </row>
    <row r="238" spans="1:7" s="15" customFormat="1">
      <c r="F238" s="417"/>
    </row>
    <row r="239" spans="1:7" s="15" customFormat="1">
      <c r="F239" s="417"/>
    </row>
    <row r="240" spans="1:7" s="15" customFormat="1">
      <c r="F240" s="417"/>
    </row>
    <row r="241" spans="6:6" s="15" customFormat="1">
      <c r="F241" s="417"/>
    </row>
    <row r="242" spans="6:6" s="15" customFormat="1">
      <c r="F242" s="417"/>
    </row>
    <row r="243" spans="6:6" s="15" customFormat="1">
      <c r="F243" s="417"/>
    </row>
    <row r="244" spans="6:6" s="15" customFormat="1">
      <c r="F244" s="417"/>
    </row>
    <row r="245" spans="6:6" s="15" customFormat="1">
      <c r="F245" s="417"/>
    </row>
    <row r="246" spans="6:6" s="15" customFormat="1">
      <c r="F246" s="417"/>
    </row>
    <row r="247" spans="6:6" s="15" customFormat="1">
      <c r="F247" s="417"/>
    </row>
    <row r="248" spans="6:6" s="15" customFormat="1">
      <c r="F248" s="417"/>
    </row>
    <row r="249" spans="6:6" s="15" customFormat="1">
      <c r="F249" s="417"/>
    </row>
    <row r="250" spans="6:6" s="15" customFormat="1">
      <c r="F250" s="417"/>
    </row>
    <row r="251" spans="6:6" s="15" customFormat="1">
      <c r="F251" s="417"/>
    </row>
    <row r="252" spans="6:6" s="15" customFormat="1">
      <c r="F252" s="417"/>
    </row>
    <row r="253" spans="6:6" s="15" customFormat="1">
      <c r="F253" s="417"/>
    </row>
    <row r="254" spans="6:6" s="15" customFormat="1">
      <c r="F254" s="417"/>
    </row>
    <row r="255" spans="6:6" s="15" customFormat="1">
      <c r="F255" s="417"/>
    </row>
    <row r="256" spans="6:6" s="15" customFormat="1">
      <c r="F256" s="417"/>
    </row>
    <row r="257" spans="6:6" s="15" customFormat="1">
      <c r="F257" s="417"/>
    </row>
    <row r="258" spans="6:6" s="15" customFormat="1">
      <c r="F258" s="417"/>
    </row>
    <row r="259" spans="6:6" s="15" customFormat="1">
      <c r="F259" s="417"/>
    </row>
    <row r="260" spans="6:6" s="15" customFormat="1">
      <c r="F260" s="417"/>
    </row>
    <row r="261" spans="6:6" s="15" customFormat="1">
      <c r="F261" s="417"/>
    </row>
    <row r="262" spans="6:6" s="15" customFormat="1">
      <c r="F262" s="417"/>
    </row>
    <row r="263" spans="6:6" s="15" customFormat="1">
      <c r="F263" s="417"/>
    </row>
    <row r="264" spans="6:6" s="15" customFormat="1">
      <c r="F264" s="417"/>
    </row>
    <row r="265" spans="6:6" s="15" customFormat="1">
      <c r="F265" s="417"/>
    </row>
    <row r="266" spans="6:6" s="15" customFormat="1">
      <c r="F266" s="417"/>
    </row>
    <row r="267" spans="6:6" s="15" customFormat="1">
      <c r="F267" s="417"/>
    </row>
    <row r="268" spans="6:6" s="15" customFormat="1">
      <c r="F268" s="417"/>
    </row>
    <row r="269" spans="6:6" s="15" customFormat="1">
      <c r="F269" s="417"/>
    </row>
    <row r="270" spans="6:6" s="15" customFormat="1">
      <c r="F270" s="417"/>
    </row>
    <row r="271" spans="6:6" s="15" customFormat="1">
      <c r="F271" s="417"/>
    </row>
    <row r="272" spans="6:6" s="15" customFormat="1">
      <c r="F272" s="417"/>
    </row>
    <row r="273" spans="6:6" s="15" customFormat="1">
      <c r="F273" s="417"/>
    </row>
    <row r="274" spans="6:6" s="15" customFormat="1">
      <c r="F274" s="417"/>
    </row>
    <row r="275" spans="6:6" s="15" customFormat="1">
      <c r="F275" s="417"/>
    </row>
    <row r="276" spans="6:6" s="15" customFormat="1">
      <c r="F276" s="417"/>
    </row>
    <row r="277" spans="6:6" s="15" customFormat="1">
      <c r="F277" s="417"/>
    </row>
    <row r="278" spans="6:6" s="15" customFormat="1">
      <c r="F278" s="417"/>
    </row>
    <row r="279" spans="6:6" s="15" customFormat="1">
      <c r="F279" s="417"/>
    </row>
    <row r="280" spans="6:6" s="15" customFormat="1">
      <c r="F280" s="417"/>
    </row>
    <row r="281" spans="6:6" s="15" customFormat="1">
      <c r="F281" s="417"/>
    </row>
    <row r="282" spans="6:6" s="15" customFormat="1">
      <c r="F282" s="417"/>
    </row>
    <row r="283" spans="6:6" s="15" customFormat="1">
      <c r="F283" s="417"/>
    </row>
    <row r="284" spans="6:6" s="15" customFormat="1">
      <c r="F284" s="417"/>
    </row>
    <row r="285" spans="6:6" s="15" customFormat="1">
      <c r="F285" s="417"/>
    </row>
    <row r="286" spans="6:6" s="15" customFormat="1">
      <c r="F286" s="417"/>
    </row>
    <row r="287" spans="6:6" s="15" customFormat="1">
      <c r="F287" s="417"/>
    </row>
    <row r="288" spans="6:6" s="15" customFormat="1">
      <c r="F288" s="417"/>
    </row>
    <row r="289" spans="6:6" s="15" customFormat="1">
      <c r="F289" s="417"/>
    </row>
    <row r="290" spans="6:6" s="15" customFormat="1">
      <c r="F290" s="417"/>
    </row>
    <row r="291" spans="6:6" s="15" customFormat="1">
      <c r="F291" s="417"/>
    </row>
    <row r="292" spans="6:6" s="15" customFormat="1">
      <c r="F292" s="417"/>
    </row>
    <row r="293" spans="6:6" s="15" customFormat="1">
      <c r="F293" s="417"/>
    </row>
    <row r="294" spans="6:6" s="15" customFormat="1">
      <c r="F294" s="417"/>
    </row>
  </sheetData>
  <sheetProtection password="C6F4" sheet="1" objects="1" scenarios="1"/>
  <phoneticPr fontId="6"/>
  <dataValidations count="11">
    <dataValidation type="list" allowBlank="1" showInputMessage="1" sqref="F91">
      <formula1>$E$219:$E$225</formula1>
    </dataValidation>
    <dataValidation type="list" allowBlank="1" showInputMessage="1" showErrorMessage="1" sqref="F88 F85">
      <formula1>"埋設,露出"</formula1>
    </dataValidation>
    <dataValidation type="list" allowBlank="1" showInputMessage="1" showErrorMessage="1" sqref="F95 F99 F78">
      <formula1>"有,無"</formula1>
    </dataValidation>
    <dataValidation type="list" allowBlank="1" showInputMessage="1" showErrorMessage="1" sqref="F84 F87">
      <formula1>"鉄管,鉄管以外"</formula1>
    </dataValidation>
    <dataValidation type="list" allowBlank="1" showInputMessage="1" showErrorMessage="1" sqref="F81">
      <formula1>"なし,ヘッドタンク,サージタンク"</formula1>
    </dataValidation>
    <dataValidation type="list" allowBlank="1" showInputMessage="1" showErrorMessage="1" sqref="F79 F93">
      <formula1>"暗渠,開渠"</formula1>
    </dataValidation>
    <dataValidation type="list" allowBlank="1" showInputMessage="1" showErrorMessage="1" errorTitle="選択して下さい" sqref="F62 F70 F64 F66 F68 F72 F74">
      <formula1>$F$152:$F$153</formula1>
    </dataValidation>
    <dataValidation type="list" allowBlank="1" showInputMessage="1" showErrorMessage="1" sqref="F5">
      <formula1>$F$149:$F$150</formula1>
    </dataValidation>
    <dataValidation type="custom" allowBlank="1" showInputMessage="1" showErrorMessage="1" errorTitle="事業主体が自治体以外では入力できません" sqref="F27:F30">
      <formula1>OR(事業主体="自治体")</formula1>
    </dataValidation>
    <dataValidation allowBlank="1" showInputMessage="1" showErrorMessage="1" errorTitle="事業主体が自治体以外では入力できません" sqref="F31"/>
    <dataValidation type="list" allowBlank="1" showInputMessage="1" showErrorMessage="1" sqref="F44">
      <formula1>$F$152:$F$153</formula1>
    </dataValidation>
  </dataValidations>
  <pageMargins left="0.79000000000000015" right="0.79000000000000015" top="0.98" bottom="0.98" header="0.51" footer="0.51"/>
  <pageSetup paperSize="9" orientation="portrait" horizontalDpi="4294967292" verticalDpi="4294967292"/>
  <drawing r:id="rId1"/>
  <extLst>
    <ext xmlns:x14="http://schemas.microsoft.com/office/spreadsheetml/2009/9/main" uri="{CCE6A557-97BC-4b89-ADB6-D9C93CAAB3DF}">
      <x14:dataValidations xmlns:xm="http://schemas.microsoft.com/office/excel/2006/main" count="1">
        <x14:dataValidation type="list" allowBlank="1" showInputMessage="1">
          <x14:formula1>
            <xm:f>設備耐用年数!$C$25:$C$31</xm:f>
          </x14:formula1>
          <xm:sqref>F92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M77"/>
  <sheetViews>
    <sheetView showGridLines="0" zoomScale="75" zoomScaleNormal="75" zoomScalePageLayoutView="75" workbookViewId="0">
      <pane xSplit="8" ySplit="5" topLeftCell="I33" activePane="bottomRight" state="frozen"/>
      <selection activeCell="C7" sqref="C7"/>
      <selection pane="topRight" activeCell="C7" sqref="C7"/>
      <selection pane="bottomLeft" activeCell="C7" sqref="C7"/>
      <selection pane="bottomRight" activeCell="J55" sqref="J55"/>
    </sheetView>
  </sheetViews>
  <sheetFormatPr baseColWidth="12" defaultColWidth="9.3984375" defaultRowHeight="14" x14ac:dyDescent="0"/>
  <cols>
    <col min="1" max="2" width="2.796875" style="192" customWidth="1"/>
    <col min="3" max="3" width="2" style="192" customWidth="1"/>
    <col min="4" max="4" width="2.796875" style="192" customWidth="1"/>
    <col min="5" max="5" width="24.3984375" style="192" customWidth="1"/>
    <col min="6" max="6" width="12.59765625" style="192" customWidth="1"/>
    <col min="7" max="7" width="9.3984375" style="145" hidden="1" customWidth="1"/>
    <col min="8" max="8" width="9.3984375" style="192"/>
    <col min="9" max="9" width="20.19921875" style="192" bestFit="1" customWidth="1"/>
    <col min="10" max="29" width="20" style="192" customWidth="1"/>
    <col min="30" max="16384" width="9.3984375" style="192"/>
  </cols>
  <sheetData>
    <row r="1" spans="1:39" ht="63" customHeight="1">
      <c r="A1" s="493" t="s">
        <v>224</v>
      </c>
      <c r="B1" s="193"/>
      <c r="C1" s="193"/>
      <c r="D1" s="193"/>
      <c r="I1" s="478">
        <v>40996</v>
      </c>
      <c r="J1" s="479" t="s">
        <v>73</v>
      </c>
      <c r="K1" s="209"/>
      <c r="L1" s="210"/>
      <c r="M1" s="193"/>
      <c r="N1" s="193"/>
      <c r="O1" s="193"/>
      <c r="P1" s="193"/>
      <c r="Q1" s="193"/>
      <c r="R1" s="193"/>
      <c r="S1" s="193"/>
      <c r="T1" s="193"/>
      <c r="U1" s="193"/>
      <c r="V1" s="193"/>
      <c r="W1" s="193"/>
      <c r="X1" s="193"/>
      <c r="Y1" s="193"/>
      <c r="Z1" s="193"/>
    </row>
    <row r="2" spans="1:39" ht="17">
      <c r="A2" s="211" t="s">
        <v>52</v>
      </c>
      <c r="B2" s="211"/>
      <c r="C2" s="211"/>
      <c r="D2" s="211"/>
      <c r="E2" s="212"/>
      <c r="F2" s="212"/>
      <c r="G2" s="213" t="s">
        <v>17</v>
      </c>
      <c r="H2" s="212"/>
      <c r="I2" s="214">
        <v>2013</v>
      </c>
      <c r="J2" s="214">
        <f t="shared" ref="J2:Y3" si="0">I2+1</f>
        <v>2014</v>
      </c>
      <c r="K2" s="214">
        <f>J2+1</f>
        <v>2015</v>
      </c>
      <c r="L2" s="212">
        <f t="shared" si="0"/>
        <v>2016</v>
      </c>
      <c r="M2" s="212">
        <f t="shared" si="0"/>
        <v>2017</v>
      </c>
      <c r="N2" s="212">
        <f t="shared" si="0"/>
        <v>2018</v>
      </c>
      <c r="O2" s="212">
        <f t="shared" si="0"/>
        <v>2019</v>
      </c>
      <c r="P2" s="212">
        <f t="shared" si="0"/>
        <v>2020</v>
      </c>
      <c r="Q2" s="212">
        <f t="shared" si="0"/>
        <v>2021</v>
      </c>
      <c r="R2" s="212">
        <f t="shared" si="0"/>
        <v>2022</v>
      </c>
      <c r="S2" s="212">
        <f t="shared" si="0"/>
        <v>2023</v>
      </c>
      <c r="T2" s="212">
        <f t="shared" si="0"/>
        <v>2024</v>
      </c>
      <c r="U2" s="212">
        <f t="shared" si="0"/>
        <v>2025</v>
      </c>
      <c r="V2" s="212">
        <f t="shared" si="0"/>
        <v>2026</v>
      </c>
      <c r="W2" s="212">
        <f t="shared" si="0"/>
        <v>2027</v>
      </c>
      <c r="X2" s="212">
        <f t="shared" si="0"/>
        <v>2028</v>
      </c>
      <c r="Y2" s="212">
        <f t="shared" si="0"/>
        <v>2029</v>
      </c>
      <c r="Z2" s="212">
        <f t="shared" ref="Z2:AB3" si="1">Y2+1</f>
        <v>2030</v>
      </c>
      <c r="AA2" s="212">
        <f t="shared" si="1"/>
        <v>2031</v>
      </c>
      <c r="AB2" s="212">
        <f t="shared" si="1"/>
        <v>2032</v>
      </c>
      <c r="AC2" s="215"/>
    </row>
    <row r="3" spans="1:39" ht="17" customHeight="1">
      <c r="A3" s="216" t="s">
        <v>121</v>
      </c>
      <c r="B3" s="216"/>
      <c r="C3" s="216"/>
      <c r="D3" s="216"/>
      <c r="E3" s="217"/>
      <c r="F3" s="217"/>
      <c r="G3" s="218"/>
      <c r="H3" s="219" t="s">
        <v>92</v>
      </c>
      <c r="I3" s="217">
        <v>1</v>
      </c>
      <c r="J3" s="217">
        <f t="shared" si="0"/>
        <v>2</v>
      </c>
      <c r="K3" s="217">
        <f t="shared" si="0"/>
        <v>3</v>
      </c>
      <c r="L3" s="217">
        <f t="shared" si="0"/>
        <v>4</v>
      </c>
      <c r="M3" s="217">
        <f t="shared" si="0"/>
        <v>5</v>
      </c>
      <c r="N3" s="217">
        <f t="shared" si="0"/>
        <v>6</v>
      </c>
      <c r="O3" s="217">
        <f t="shared" si="0"/>
        <v>7</v>
      </c>
      <c r="P3" s="217">
        <f t="shared" si="0"/>
        <v>8</v>
      </c>
      <c r="Q3" s="217">
        <f t="shared" si="0"/>
        <v>9</v>
      </c>
      <c r="R3" s="220">
        <f>Q3+1</f>
        <v>10</v>
      </c>
      <c r="S3" s="217">
        <f t="shared" si="0"/>
        <v>11</v>
      </c>
      <c r="T3" s="220">
        <f t="shared" si="0"/>
        <v>12</v>
      </c>
      <c r="U3" s="217">
        <f t="shared" si="0"/>
        <v>13</v>
      </c>
      <c r="V3" s="217">
        <f t="shared" si="0"/>
        <v>14</v>
      </c>
      <c r="W3" s="217">
        <f t="shared" si="0"/>
        <v>15</v>
      </c>
      <c r="X3" s="217">
        <f t="shared" si="0"/>
        <v>16</v>
      </c>
      <c r="Y3" s="217">
        <f t="shared" si="0"/>
        <v>17</v>
      </c>
      <c r="Z3" s="217">
        <f t="shared" si="1"/>
        <v>18</v>
      </c>
      <c r="AA3" s="217">
        <f t="shared" si="1"/>
        <v>19</v>
      </c>
      <c r="AB3" s="217">
        <f t="shared" si="1"/>
        <v>20</v>
      </c>
      <c r="AC3" s="215"/>
    </row>
    <row r="4" spans="1:39" ht="17" customHeight="1">
      <c r="A4" s="216" t="s">
        <v>42</v>
      </c>
      <c r="B4" s="216"/>
      <c r="C4" s="216"/>
      <c r="D4" s="216"/>
      <c r="E4" s="221" t="s">
        <v>228</v>
      </c>
      <c r="F4" s="217"/>
      <c r="G4" s="218"/>
      <c r="H4" s="219" t="s">
        <v>91</v>
      </c>
      <c r="I4" s="217">
        <v>12</v>
      </c>
      <c r="J4" s="217">
        <v>12</v>
      </c>
      <c r="K4" s="217">
        <v>12</v>
      </c>
      <c r="L4" s="217">
        <v>12</v>
      </c>
      <c r="M4" s="217">
        <v>12</v>
      </c>
      <c r="N4" s="217">
        <v>12</v>
      </c>
      <c r="O4" s="217">
        <v>12</v>
      </c>
      <c r="P4" s="217">
        <v>12</v>
      </c>
      <c r="Q4" s="217">
        <v>12</v>
      </c>
      <c r="R4" s="217">
        <v>12</v>
      </c>
      <c r="S4" s="217">
        <v>12</v>
      </c>
      <c r="T4" s="217">
        <v>12</v>
      </c>
      <c r="U4" s="217">
        <v>12</v>
      </c>
      <c r="V4" s="217">
        <v>12</v>
      </c>
      <c r="W4" s="217">
        <v>12</v>
      </c>
      <c r="X4" s="217">
        <v>12</v>
      </c>
      <c r="Y4" s="217">
        <v>12</v>
      </c>
      <c r="Z4" s="217">
        <v>12</v>
      </c>
      <c r="AA4" s="217">
        <v>12</v>
      </c>
      <c r="AB4" s="217">
        <v>12</v>
      </c>
      <c r="AC4" s="215"/>
    </row>
    <row r="5" spans="1:39" ht="17" customHeight="1">
      <c r="A5" s="216"/>
      <c r="B5" s="216"/>
      <c r="C5" s="216"/>
      <c r="D5" s="216"/>
      <c r="E5" s="221" t="s">
        <v>227</v>
      </c>
      <c r="F5" s="217"/>
      <c r="G5" s="218"/>
      <c r="H5" s="219" t="s">
        <v>91</v>
      </c>
      <c r="I5" s="217">
        <v>12</v>
      </c>
      <c r="J5" s="217">
        <v>12</v>
      </c>
      <c r="K5" s="217">
        <v>12</v>
      </c>
      <c r="L5" s="217">
        <v>12</v>
      </c>
      <c r="M5" s="217">
        <v>12</v>
      </c>
      <c r="N5" s="217">
        <v>12</v>
      </c>
      <c r="O5" s="217">
        <v>12</v>
      </c>
      <c r="P5" s="217">
        <v>12</v>
      </c>
      <c r="Q5" s="217">
        <v>12</v>
      </c>
      <c r="R5" s="217">
        <v>12</v>
      </c>
      <c r="S5" s="217">
        <v>12</v>
      </c>
      <c r="T5" s="217">
        <v>12</v>
      </c>
      <c r="U5" s="217">
        <v>12</v>
      </c>
      <c r="V5" s="217">
        <v>12</v>
      </c>
      <c r="W5" s="217">
        <v>12</v>
      </c>
      <c r="X5" s="217">
        <v>12</v>
      </c>
      <c r="Y5" s="217">
        <v>12</v>
      </c>
      <c r="Z5" s="217">
        <v>12</v>
      </c>
      <c r="AA5" s="217">
        <v>12</v>
      </c>
      <c r="AB5" s="217">
        <v>3</v>
      </c>
      <c r="AC5" s="215"/>
    </row>
    <row r="6" spans="1:39" s="224" customFormat="1" ht="26" customHeight="1">
      <c r="A6" s="222" t="s">
        <v>71</v>
      </c>
      <c r="B6" s="223"/>
      <c r="C6" s="223"/>
      <c r="D6" s="223"/>
      <c r="G6" s="225"/>
      <c r="H6" s="226"/>
      <c r="I6" s="223"/>
      <c r="J6" s="227"/>
      <c r="K6" s="227"/>
      <c r="L6" s="227"/>
      <c r="M6" s="227"/>
      <c r="N6" s="227"/>
      <c r="O6" s="227"/>
      <c r="P6" s="227"/>
      <c r="Q6" s="227"/>
      <c r="R6" s="227"/>
      <c r="S6" s="227"/>
      <c r="T6" s="227"/>
      <c r="U6" s="227"/>
      <c r="V6" s="227"/>
      <c r="W6" s="227"/>
      <c r="X6" s="227"/>
      <c r="Y6" s="227"/>
      <c r="Z6" s="227"/>
      <c r="AA6" s="227"/>
      <c r="AB6" s="227"/>
      <c r="AC6" s="228"/>
      <c r="AD6" s="227"/>
    </row>
    <row r="7" spans="1:39" s="234" customFormat="1" ht="17">
      <c r="A7" s="191"/>
      <c r="B7" s="229"/>
      <c r="C7" s="229" t="s">
        <v>144</v>
      </c>
      <c r="D7" s="229"/>
      <c r="E7" s="215"/>
      <c r="F7" s="230">
        <v>16</v>
      </c>
      <c r="G7" s="231" t="s">
        <v>45</v>
      </c>
      <c r="H7" s="232"/>
      <c r="I7" s="233">
        <f>SUM(I8:I11)</f>
        <v>26061000</v>
      </c>
      <c r="J7" s="233">
        <f t="shared" ref="J7:AB7" si="2">SUM(J8:J11)</f>
        <v>26061000</v>
      </c>
      <c r="K7" s="233">
        <f t="shared" si="2"/>
        <v>26061000</v>
      </c>
      <c r="L7" s="233">
        <f t="shared" si="2"/>
        <v>26061000</v>
      </c>
      <c r="M7" s="233">
        <f t="shared" si="2"/>
        <v>26061000</v>
      </c>
      <c r="N7" s="233">
        <f t="shared" si="2"/>
        <v>26061000</v>
      </c>
      <c r="O7" s="233">
        <f t="shared" si="2"/>
        <v>26061000</v>
      </c>
      <c r="P7" s="233">
        <f t="shared" si="2"/>
        <v>26061000</v>
      </c>
      <c r="Q7" s="233">
        <f t="shared" si="2"/>
        <v>26061000</v>
      </c>
      <c r="R7" s="233">
        <f t="shared" si="2"/>
        <v>26061000</v>
      </c>
      <c r="S7" s="233">
        <f t="shared" si="2"/>
        <v>26061000</v>
      </c>
      <c r="T7" s="233">
        <f t="shared" si="2"/>
        <v>26061000</v>
      </c>
      <c r="U7" s="233">
        <f t="shared" si="2"/>
        <v>26061000</v>
      </c>
      <c r="V7" s="233">
        <f>SUM(V8:V11)</f>
        <v>26061000</v>
      </c>
      <c r="W7" s="233">
        <f t="shared" si="2"/>
        <v>26061000</v>
      </c>
      <c r="X7" s="233">
        <f t="shared" si="2"/>
        <v>26061000</v>
      </c>
      <c r="Y7" s="233">
        <f t="shared" si="2"/>
        <v>26061000</v>
      </c>
      <c r="Z7" s="233">
        <f t="shared" si="2"/>
        <v>26061000</v>
      </c>
      <c r="AA7" s="233">
        <f t="shared" si="2"/>
        <v>26061000</v>
      </c>
      <c r="AB7" s="233">
        <f t="shared" si="2"/>
        <v>26061000</v>
      </c>
      <c r="AC7" s="233"/>
    </row>
    <row r="8" spans="1:39" ht="17">
      <c r="A8" s="191"/>
      <c r="E8" s="235" t="s">
        <v>225</v>
      </c>
      <c r="F8" s="236" t="s">
        <v>226</v>
      </c>
      <c r="G8" s="237" t="s">
        <v>95</v>
      </c>
      <c r="H8" s="232"/>
      <c r="I8" s="197">
        <f>IF(I3&lt;=パラメータ!$F53,年間発電量*売電単価FIT*(1-自家消費率)+年間発電量*買電単価*自家消費率,年間発電量*売電単価*(1-自家消費率)+年間発電量*買電単価*自家消費率)</f>
        <v>26061000</v>
      </c>
      <c r="J8" s="197">
        <f>IF(J3&lt;=パラメータ!$F53,年間発電量*売電単価FIT*(1-自家消費率)+年間発電量*買電単価*自家消費率,年間発電量*売電単価*(1-自家消費率)+年間発電量*買電単価*自家消費率)</f>
        <v>26061000</v>
      </c>
      <c r="K8" s="197">
        <f>IF(K3&lt;=パラメータ!$F53,年間発電量*売電単価FIT*(1-自家消費率)+年間発電量*買電単価*自家消費率,年間発電量*売電単価*(1-自家消費率)+年間発電量*買電単価*自家消費率)</f>
        <v>26061000</v>
      </c>
      <c r="L8" s="197">
        <f>IF(L3&lt;=パラメータ!$F53,年間発電量*売電単価FIT*(1-自家消費率)+年間発電量*買電単価*自家消費率,年間発電量*売電単価*(1-自家消費率)+年間発電量*買電単価*自家消費率)</f>
        <v>26061000</v>
      </c>
      <c r="M8" s="197">
        <f>IF(M3&lt;=パラメータ!$F53,年間発電量*売電単価FIT*(1-自家消費率)+年間発電量*買電単価*自家消費率,年間発電量*売電単価*(1-自家消費率)+年間発電量*買電単価*自家消費率)</f>
        <v>26061000</v>
      </c>
      <c r="N8" s="197">
        <f>IF(N3&lt;=パラメータ!$F53,年間発電量*売電単価FIT*(1-自家消費率)+年間発電量*買電単価*自家消費率,年間発電量*売電単価*(1-自家消費率)+年間発電量*買電単価*自家消費率)</f>
        <v>26061000</v>
      </c>
      <c r="O8" s="197">
        <f>IF(O3&lt;=パラメータ!$F53,年間発電量*売電単価FIT*(1-自家消費率)+年間発電量*買電単価*自家消費率,年間発電量*売電単価*(1-自家消費率)+年間発電量*買電単価*自家消費率)</f>
        <v>26061000</v>
      </c>
      <c r="P8" s="197">
        <f>IF(P3&lt;=パラメータ!$F53,年間発電量*売電単価FIT*(1-自家消費率)+年間発電量*買電単価*自家消費率,年間発電量*売電単価*(1-自家消費率)+年間発電量*買電単価*自家消費率)</f>
        <v>26061000</v>
      </c>
      <c r="Q8" s="197">
        <f>IF(Q3&lt;=パラメータ!$F53,年間発電量*売電単価FIT*(1-自家消費率)+年間発電量*買電単価*自家消費率,年間発電量*売電単価*(1-自家消費率)+年間発電量*買電単価*自家消費率)</f>
        <v>26061000</v>
      </c>
      <c r="R8" s="197">
        <f>IF(R3&lt;=パラメータ!$F53,年間発電量*売電単価FIT*(1-自家消費率)+年間発電量*買電単価*自家消費率,年間発電量*売電単価*(1-自家消費率)+年間発電量*買電単価*自家消費率)</f>
        <v>26061000</v>
      </c>
      <c r="S8" s="197">
        <f>IF(S3&lt;=パラメータ!$F53,年間発電量*売電単価FIT*(1-自家消費率)+年間発電量*買電単価*自家消費率,年間発電量*売電単価*(1-自家消費率)+年間発電量*買電単価*自家消費率)</f>
        <v>26061000</v>
      </c>
      <c r="T8" s="197">
        <f>IF(T3&lt;=パラメータ!$F53,年間発電量*売電単価FIT*(1-自家消費率)+年間発電量*買電単価*自家消費率,年間発電量*売電単価*(1-自家消費率)+年間発電量*買電単価*自家消費率)</f>
        <v>26061000</v>
      </c>
      <c r="U8" s="197">
        <f>IF(U3&lt;=パラメータ!$F53,年間発電量*売電単価FIT*(1-自家消費率)+年間発電量*買電単価*自家消費率,年間発電量*売電単価*(1-自家消費率)+年間発電量*買電単価*自家消費率)</f>
        <v>26061000</v>
      </c>
      <c r="V8" s="197">
        <f>IF(V3&lt;=パラメータ!$F53,年間発電量*売電単価FIT*(1-自家消費率)+年間発電量*買電単価*自家消費率,年間発電量*売電単価*(1-自家消費率)+年間発電量*買電単価*自家消費率)</f>
        <v>26061000</v>
      </c>
      <c r="W8" s="197">
        <f>IF(W3&lt;=パラメータ!$F53,年間発電量*売電単価FIT*(1-自家消費率)+年間発電量*買電単価*自家消費率,年間発電量*売電単価*(1-自家消費率)+年間発電量*買電単価*自家消費率)</f>
        <v>26061000</v>
      </c>
      <c r="X8" s="197">
        <f>IF(X3&lt;=パラメータ!$F53,年間発電量*売電単価FIT*(1-自家消費率)+年間発電量*買電単価*自家消費率,年間発電量*売電単価*(1-自家消費率)+年間発電量*買電単価*自家消費率)</f>
        <v>26061000</v>
      </c>
      <c r="Y8" s="197">
        <f>IF(Y3&lt;=パラメータ!$F53,年間発電量*売電単価FIT*(1-自家消費率)+年間発電量*買電単価*自家消費率,年間発電量*売電単価*(1-自家消費率)+年間発電量*買電単価*自家消費率)</f>
        <v>26061000</v>
      </c>
      <c r="Z8" s="197">
        <f>IF(Z3&lt;=パラメータ!$F53,年間発電量*売電単価FIT*(1-自家消費率)+年間発電量*買電単価*自家消費率,年間発電量*売電単価*(1-自家消費率)+年間発電量*買電単価*自家消費率)</f>
        <v>26061000</v>
      </c>
      <c r="AA8" s="197">
        <f>IF(AA3&lt;=パラメータ!$F53,年間発電量*売電単価FIT*(1-自家消費率)+年間発電量*買電単価*自家消費率,年間発電量*売電単価*(1-自家消費率)+年間発電量*買電単価*自家消費率)</f>
        <v>26061000</v>
      </c>
      <c r="AB8" s="197">
        <f>IF(AB3&lt;=パラメータ!$F53,年間発電量*売電単価FIT*(1-自家消費率)+年間発電量*買電単価*自家消費率,年間発電量*売電単価*(1-自家消費率)+年間発電量*買電単価*自家消費率)</f>
        <v>26061000</v>
      </c>
      <c r="AC8" s="197"/>
    </row>
    <row r="9" spans="1:39" ht="17">
      <c r="A9" s="191"/>
      <c r="E9" s="193"/>
      <c r="F9" s="236"/>
      <c r="G9" s="237"/>
      <c r="H9" s="232"/>
      <c r="I9" s="197"/>
      <c r="J9" s="197"/>
      <c r="K9" s="197"/>
      <c r="L9" s="197"/>
      <c r="M9" s="197"/>
      <c r="N9" s="197"/>
      <c r="O9" s="197"/>
      <c r="P9" s="197"/>
      <c r="Q9" s="197"/>
      <c r="R9" s="197"/>
      <c r="S9" s="197"/>
      <c r="T9" s="197"/>
      <c r="U9" s="197"/>
      <c r="V9" s="197"/>
      <c r="W9" s="197"/>
      <c r="X9" s="197"/>
      <c r="Y9" s="197"/>
      <c r="Z9" s="197"/>
      <c r="AA9" s="197"/>
      <c r="AB9" s="197"/>
      <c r="AC9" s="197"/>
    </row>
    <row r="10" spans="1:39" ht="17">
      <c r="A10" s="191"/>
      <c r="E10" s="193" t="s">
        <v>104</v>
      </c>
      <c r="H10" s="238"/>
      <c r="I10" s="197">
        <f>年間発電量*G電単価*自家消費率</f>
        <v>0</v>
      </c>
      <c r="J10" s="197">
        <f t="shared" ref="J10:AB10" si="3">年間発電量*G電単価*自家消費率</f>
        <v>0</v>
      </c>
      <c r="K10" s="197">
        <f t="shared" si="3"/>
        <v>0</v>
      </c>
      <c r="L10" s="197">
        <f>年間発電量*G電単価*自家消費率</f>
        <v>0</v>
      </c>
      <c r="M10" s="197">
        <f t="shared" si="3"/>
        <v>0</v>
      </c>
      <c r="N10" s="197">
        <f t="shared" si="3"/>
        <v>0</v>
      </c>
      <c r="O10" s="197">
        <f t="shared" si="3"/>
        <v>0</v>
      </c>
      <c r="P10" s="197">
        <f t="shared" si="3"/>
        <v>0</v>
      </c>
      <c r="Q10" s="197">
        <f t="shared" si="3"/>
        <v>0</v>
      </c>
      <c r="R10" s="197">
        <f t="shared" si="3"/>
        <v>0</v>
      </c>
      <c r="S10" s="197">
        <f t="shared" si="3"/>
        <v>0</v>
      </c>
      <c r="T10" s="197">
        <f t="shared" si="3"/>
        <v>0</v>
      </c>
      <c r="U10" s="197">
        <f t="shared" si="3"/>
        <v>0</v>
      </c>
      <c r="V10" s="197">
        <f t="shared" si="3"/>
        <v>0</v>
      </c>
      <c r="W10" s="197">
        <f t="shared" si="3"/>
        <v>0</v>
      </c>
      <c r="X10" s="197">
        <f t="shared" si="3"/>
        <v>0</v>
      </c>
      <c r="Y10" s="197">
        <f t="shared" si="3"/>
        <v>0</v>
      </c>
      <c r="Z10" s="197">
        <f t="shared" si="3"/>
        <v>0</v>
      </c>
      <c r="AA10" s="197">
        <f t="shared" si="3"/>
        <v>0</v>
      </c>
      <c r="AB10" s="197">
        <f t="shared" si="3"/>
        <v>0</v>
      </c>
      <c r="AC10" s="197"/>
    </row>
    <row r="11" spans="1:39" ht="17" hidden="1">
      <c r="A11" s="191"/>
      <c r="E11" s="193" t="s">
        <v>105</v>
      </c>
      <c r="F11" s="194"/>
      <c r="G11" s="195" t="s">
        <v>96</v>
      </c>
      <c r="H11" s="196"/>
      <c r="I11" s="197">
        <v>0</v>
      </c>
      <c r="J11" s="197">
        <v>0</v>
      </c>
      <c r="K11" s="197">
        <v>0</v>
      </c>
      <c r="L11" s="197">
        <v>0</v>
      </c>
      <c r="M11" s="197">
        <v>0</v>
      </c>
      <c r="N11" s="197">
        <v>0</v>
      </c>
      <c r="O11" s="197">
        <v>0</v>
      </c>
      <c r="P11" s="197">
        <v>0</v>
      </c>
      <c r="Q11" s="197">
        <v>0</v>
      </c>
      <c r="R11" s="197">
        <v>0</v>
      </c>
      <c r="S11" s="197">
        <v>0</v>
      </c>
      <c r="T11" s="197">
        <v>0</v>
      </c>
      <c r="U11" s="197">
        <v>0</v>
      </c>
      <c r="V11" s="197">
        <v>0</v>
      </c>
      <c r="W11" s="197">
        <v>0</v>
      </c>
      <c r="X11" s="197">
        <v>0</v>
      </c>
      <c r="Y11" s="197">
        <v>0</v>
      </c>
      <c r="Z11" s="197">
        <v>0</v>
      </c>
      <c r="AA11" s="197">
        <v>0</v>
      </c>
      <c r="AB11" s="197">
        <v>0</v>
      </c>
      <c r="AC11" s="197"/>
      <c r="AD11" s="197"/>
      <c r="AE11" s="197"/>
      <c r="AF11" s="197"/>
      <c r="AG11" s="197"/>
      <c r="AH11" s="197"/>
      <c r="AI11" s="197"/>
      <c r="AJ11" s="197"/>
      <c r="AK11" s="197"/>
      <c r="AL11" s="197"/>
      <c r="AM11" s="197"/>
    </row>
    <row r="12" spans="1:39" ht="17">
      <c r="A12" s="191"/>
      <c r="C12" s="193" t="s">
        <v>50</v>
      </c>
      <c r="D12" s="193"/>
      <c r="E12" s="193"/>
      <c r="F12" s="239"/>
      <c r="G12" s="239"/>
      <c r="H12" s="240" t="s">
        <v>135</v>
      </c>
      <c r="I12" s="197"/>
      <c r="J12" s="197"/>
      <c r="K12" s="197"/>
      <c r="L12" s="197"/>
      <c r="M12" s="197"/>
      <c r="N12" s="197"/>
      <c r="O12" s="197"/>
      <c r="P12" s="197"/>
      <c r="Q12" s="197"/>
      <c r="R12" s="197"/>
      <c r="S12" s="197"/>
      <c r="T12" s="197"/>
      <c r="U12" s="197"/>
      <c r="V12" s="197"/>
      <c r="W12" s="197"/>
      <c r="X12" s="197"/>
      <c r="Y12" s="197"/>
      <c r="Z12" s="197"/>
      <c r="AA12" s="197"/>
      <c r="AB12" s="197"/>
      <c r="AC12" s="197"/>
    </row>
    <row r="13" spans="1:39" s="254" customFormat="1" ht="17">
      <c r="A13" s="446"/>
      <c r="B13" s="447"/>
      <c r="C13" s="447"/>
      <c r="D13" s="447"/>
      <c r="E13" s="361" t="s">
        <v>197</v>
      </c>
      <c r="F13" s="242"/>
      <c r="G13" s="243"/>
      <c r="H13" s="242"/>
      <c r="I13" s="244">
        <f>SUM(I14:I19)</f>
        <v>10783506.719055332</v>
      </c>
      <c r="J13" s="244">
        <f>SUM(J14:J19)</f>
        <v>9261951.48933319</v>
      </c>
      <c r="K13" s="244">
        <f>SUM(K14:K19)</f>
        <v>8493315.4446029589</v>
      </c>
      <c r="L13" s="245">
        <f t="shared" ref="L13:AB13" si="4">SUM(L14:L19)</f>
        <v>7913243.8097912185</v>
      </c>
      <c r="M13" s="245">
        <f t="shared" si="4"/>
        <v>7852836.2352855504</v>
      </c>
      <c r="N13" s="245">
        <f>SUM(N14:N19)</f>
        <v>7201494.6300764643</v>
      </c>
      <c r="O13" s="245">
        <f t="shared" si="4"/>
        <v>6734242.9822092867</v>
      </c>
      <c r="P13" s="245">
        <f t="shared" si="4"/>
        <v>6288462.0415405612</v>
      </c>
      <c r="Q13" s="245">
        <f t="shared" si="4"/>
        <v>6005116.9189564437</v>
      </c>
      <c r="R13" s="245">
        <f t="shared" si="4"/>
        <v>5639502.7638520095</v>
      </c>
      <c r="S13" s="245">
        <f>SUM(S14:S19)</f>
        <v>6040916.4086284842</v>
      </c>
      <c r="T13" s="245">
        <f t="shared" si="4"/>
        <v>5481824.6767316479</v>
      </c>
      <c r="U13" s="245">
        <f t="shared" si="4"/>
        <v>5497243.2530937456</v>
      </c>
      <c r="V13" s="245">
        <f>SUM(V14:V19)</f>
        <v>5396748.0613658745</v>
      </c>
      <c r="W13" s="245">
        <f t="shared" si="4"/>
        <v>5419956.0978297181</v>
      </c>
      <c r="X13" s="245">
        <f t="shared" si="4"/>
        <v>5476519.6768348701</v>
      </c>
      <c r="Y13" s="245">
        <f t="shared" si="4"/>
        <v>5356125.0470748153</v>
      </c>
      <c r="Z13" s="245">
        <f t="shared" si="4"/>
        <v>5268488.9394161645</v>
      </c>
      <c r="AA13" s="245">
        <f t="shared" si="4"/>
        <v>3445598.8316088142</v>
      </c>
      <c r="AB13" s="245">
        <f t="shared" si="4"/>
        <v>3362733.4450193648</v>
      </c>
      <c r="AC13" s="147"/>
    </row>
    <row r="14" spans="1:39" ht="17">
      <c r="A14" s="191"/>
      <c r="E14" s="193"/>
      <c r="F14" s="335" t="s">
        <v>109</v>
      </c>
      <c r="G14" s="448" t="s">
        <v>96</v>
      </c>
      <c r="H14" s="149"/>
      <c r="I14" s="247">
        <f>遠隔監視費*設置サイト数*I4</f>
        <v>12000</v>
      </c>
      <c r="J14" s="247">
        <f t="shared" ref="J14:AB14" si="5">遠隔監視費*設置サイト数*J4</f>
        <v>12000</v>
      </c>
      <c r="K14" s="247">
        <f t="shared" si="5"/>
        <v>12000</v>
      </c>
      <c r="L14" s="247">
        <f t="shared" si="5"/>
        <v>12000</v>
      </c>
      <c r="M14" s="247">
        <f t="shared" si="5"/>
        <v>12000</v>
      </c>
      <c r="N14" s="247">
        <f>遠隔監視費*設置サイト数*N4</f>
        <v>12000</v>
      </c>
      <c r="O14" s="247">
        <f t="shared" si="5"/>
        <v>12000</v>
      </c>
      <c r="P14" s="247">
        <f t="shared" si="5"/>
        <v>12000</v>
      </c>
      <c r="Q14" s="247">
        <f t="shared" si="5"/>
        <v>12000</v>
      </c>
      <c r="R14" s="247">
        <f t="shared" si="5"/>
        <v>12000</v>
      </c>
      <c r="S14" s="247">
        <f t="shared" si="5"/>
        <v>12000</v>
      </c>
      <c r="T14" s="247">
        <f t="shared" si="5"/>
        <v>12000</v>
      </c>
      <c r="U14" s="247">
        <f t="shared" si="5"/>
        <v>12000</v>
      </c>
      <c r="V14" s="247">
        <f t="shared" si="5"/>
        <v>12000</v>
      </c>
      <c r="W14" s="247">
        <f t="shared" si="5"/>
        <v>12000</v>
      </c>
      <c r="X14" s="247">
        <f t="shared" si="5"/>
        <v>12000</v>
      </c>
      <c r="Y14" s="247">
        <f t="shared" si="5"/>
        <v>12000</v>
      </c>
      <c r="Z14" s="247">
        <f t="shared" si="5"/>
        <v>12000</v>
      </c>
      <c r="AA14" s="247">
        <f t="shared" si="5"/>
        <v>12000</v>
      </c>
      <c r="AB14" s="247">
        <f t="shared" si="5"/>
        <v>12000</v>
      </c>
      <c r="AC14" s="247"/>
    </row>
    <row r="15" spans="1:39" ht="17">
      <c r="A15" s="191"/>
      <c r="E15" s="193"/>
      <c r="F15" s="335" t="s">
        <v>110</v>
      </c>
      <c r="G15" s="448"/>
      <c r="H15" s="149"/>
      <c r="I15" s="247"/>
      <c r="J15" s="247">
        <f>小水力運用!L19</f>
        <v>1825000</v>
      </c>
      <c r="K15" s="247">
        <f>小水力運用!L20</f>
        <v>1825000</v>
      </c>
      <c r="L15" s="247">
        <f>小水力運用!L21</f>
        <v>1825000</v>
      </c>
      <c r="M15" s="247">
        <f>小水力運用!L22</f>
        <v>1885000</v>
      </c>
      <c r="N15" s="247">
        <f>小水力運用!L23</f>
        <v>1825000</v>
      </c>
      <c r="O15" s="247">
        <f>小水力運用!L24</f>
        <v>1885000</v>
      </c>
      <c r="P15" s="247">
        <f>小水力運用!L25</f>
        <v>1825000</v>
      </c>
      <c r="Q15" s="247">
        <f>小水力運用!L26</f>
        <v>1885000</v>
      </c>
      <c r="R15" s="247">
        <f>小水力運用!L27</f>
        <v>1825000</v>
      </c>
      <c r="S15" s="247">
        <f>小水力運用!L28</f>
        <v>2335000</v>
      </c>
      <c r="T15" s="247">
        <f>小水力運用!L29</f>
        <v>1825000</v>
      </c>
      <c r="U15" s="247">
        <f>小水力運用!L30</f>
        <v>1885000</v>
      </c>
      <c r="V15" s="247">
        <f>小水力運用!L31</f>
        <v>1825000</v>
      </c>
      <c r="W15" s="247">
        <f>小水力運用!L32</f>
        <v>1885000</v>
      </c>
      <c r="X15" s="247">
        <f>小水力運用!L33</f>
        <v>1975000</v>
      </c>
      <c r="Y15" s="247">
        <f>小水力運用!L34</f>
        <v>1885000</v>
      </c>
      <c r="Z15" s="247">
        <f>小水力運用!L35</f>
        <v>1825000</v>
      </c>
      <c r="AA15" s="247">
        <f>小水力運用!L36</f>
        <v>1885000</v>
      </c>
      <c r="AB15" s="247">
        <f>小水力運用!L37</f>
        <v>1825000</v>
      </c>
      <c r="AC15" s="247"/>
    </row>
    <row r="16" spans="1:39" ht="17">
      <c r="A16" s="191"/>
      <c r="E16" s="193"/>
      <c r="F16" s="361" t="s">
        <v>617</v>
      </c>
      <c r="G16" s="448"/>
      <c r="H16" s="149"/>
      <c r="I16" s="247">
        <f t="shared" ref="I16:AB16" si="6">流水占用料</f>
        <v>135284.68799999999</v>
      </c>
      <c r="J16" s="247">
        <f t="shared" si="6"/>
        <v>135284.68799999999</v>
      </c>
      <c r="K16" s="247">
        <f t="shared" si="6"/>
        <v>135284.68799999999</v>
      </c>
      <c r="L16" s="247">
        <f t="shared" si="6"/>
        <v>135284.68799999999</v>
      </c>
      <c r="M16" s="247">
        <f t="shared" si="6"/>
        <v>135284.68799999999</v>
      </c>
      <c r="N16" s="247">
        <f t="shared" si="6"/>
        <v>135284.68799999999</v>
      </c>
      <c r="O16" s="247">
        <f t="shared" si="6"/>
        <v>135284.68799999999</v>
      </c>
      <c r="P16" s="247">
        <f t="shared" si="6"/>
        <v>135284.68799999999</v>
      </c>
      <c r="Q16" s="247">
        <f t="shared" si="6"/>
        <v>135284.68799999999</v>
      </c>
      <c r="R16" s="247">
        <f t="shared" si="6"/>
        <v>135284.68799999999</v>
      </c>
      <c r="S16" s="247">
        <f t="shared" si="6"/>
        <v>135284.68799999999</v>
      </c>
      <c r="T16" s="247">
        <f t="shared" si="6"/>
        <v>135284.68799999999</v>
      </c>
      <c r="U16" s="247">
        <f t="shared" si="6"/>
        <v>135284.68799999999</v>
      </c>
      <c r="V16" s="247">
        <f t="shared" si="6"/>
        <v>135284.68799999999</v>
      </c>
      <c r="W16" s="247">
        <f t="shared" si="6"/>
        <v>135284.68799999999</v>
      </c>
      <c r="X16" s="247">
        <f t="shared" si="6"/>
        <v>135284.68799999999</v>
      </c>
      <c r="Y16" s="247">
        <f t="shared" si="6"/>
        <v>135284.68799999999</v>
      </c>
      <c r="Z16" s="247">
        <f t="shared" si="6"/>
        <v>135284.68799999999</v>
      </c>
      <c r="AA16" s="247">
        <f t="shared" si="6"/>
        <v>135284.68799999999</v>
      </c>
      <c r="AB16" s="247">
        <f t="shared" si="6"/>
        <v>135284.68799999999</v>
      </c>
      <c r="AC16" s="247"/>
    </row>
    <row r="17" spans="1:29" s="234" customFormat="1" ht="17">
      <c r="A17" s="248"/>
      <c r="E17" s="249"/>
      <c r="F17" s="229" t="s">
        <v>107</v>
      </c>
      <c r="G17" s="449"/>
      <c r="H17" s="247"/>
      <c r="I17" s="247">
        <f>IF(事業主体="自治体",保険料!F31,保険料!F12)</f>
        <v>1789077.0310553322</v>
      </c>
      <c r="J17" s="247">
        <f>IF(事業主体="自治体",保険料!G31,保険料!G12)</f>
        <v>1630509.1879331821</v>
      </c>
      <c r="K17" s="247">
        <f>IF(事業主体="自治体",保険料!H31,保険料!H12)</f>
        <v>1487771.3462995</v>
      </c>
      <c r="L17" s="247">
        <f>IF(事業主体="自治体",保険料!I31,保険料!I12)</f>
        <v>1463660.0915819241</v>
      </c>
      <c r="M17" s="247">
        <f>IF(事業主体="自治体",保険料!J31,保険料!J12)</f>
        <v>1347994.0218549052</v>
      </c>
      <c r="N17" s="247">
        <f>IF(事業主体="自治体",保険料!K31,保険料!K12)</f>
        <v>1243870.5503626405</v>
      </c>
      <c r="O17" s="247">
        <f>IF(事業主体="自治体",保険料!L31,保険料!L12)</f>
        <v>1150136.5109440666</v>
      </c>
      <c r="P17" s="247">
        <f>IF(事業主体="自治体",保険料!M31,保険料!M12)</f>
        <v>1150136.5109440666</v>
      </c>
      <c r="Q17" s="247">
        <f>IF(事業主体="自治体",保険料!N31,保険料!N12)</f>
        <v>1150136.5109440666</v>
      </c>
      <c r="R17" s="247">
        <f>IF(事業主体="自治体",保険料!O31,保険料!O12)</f>
        <v>1150136.5109440666</v>
      </c>
      <c r="S17" s="247">
        <f>IF(事業主体="自治体",保険料!P31,保険料!P12)</f>
        <v>1150136.5109440666</v>
      </c>
      <c r="T17" s="247">
        <f>IF(事業主体="自治体",保険料!Q31,保険料!Q12)</f>
        <v>1150136.5109440666</v>
      </c>
      <c r="U17" s="247">
        <f>IF(事業主体="自治体",保険料!R31,保険料!R12)</f>
        <v>1150136.5109440666</v>
      </c>
      <c r="V17" s="247">
        <f>IF(事業主体="自治体",保険料!S31,保険料!S12)</f>
        <v>1150136.5109440666</v>
      </c>
      <c r="W17" s="247">
        <f>IF(事業主体="自治体",保険料!T31,保険料!T12)</f>
        <v>1150136.5109440666</v>
      </c>
      <c r="X17" s="247">
        <f>IF(事業主体="自治体",保険料!U31,保険料!U12)</f>
        <v>1150136.5109440666</v>
      </c>
      <c r="Y17" s="247">
        <f>IF(事業主体="自治体",保険料!V31,保険料!V12)</f>
        <v>1150136.5109440666</v>
      </c>
      <c r="Z17" s="247">
        <f>IF(事業主体="自治体",保険料!W31,保険料!W12)</f>
        <v>1150136.5109440666</v>
      </c>
      <c r="AA17" s="247">
        <f>IF(事業主体="自治体",保険料!X31,保険料!X12)</f>
        <v>1150136.5109440666</v>
      </c>
      <c r="AB17" s="247">
        <f>IF(事業主体="自治体",保険料!Y31,保険料!Y12)</f>
        <v>1150136.5109440666</v>
      </c>
      <c r="AC17" s="247"/>
    </row>
    <row r="18" spans="1:29" ht="17">
      <c r="A18" s="191"/>
      <c r="E18" s="193"/>
      <c r="F18" s="450" t="s">
        <v>66</v>
      </c>
      <c r="G18" s="451" t="s">
        <v>76</v>
      </c>
      <c r="H18" s="335"/>
      <c r="I18" s="247">
        <f>'AS1'!E40</f>
        <v>0</v>
      </c>
      <c r="J18" s="247">
        <f>'AS1'!F40</f>
        <v>386544.61340000748</v>
      </c>
      <c r="K18" s="247">
        <f>'AS1'!G40</f>
        <v>350363.41030345869</v>
      </c>
      <c r="L18" s="247">
        <f>'AS1'!H40</f>
        <v>317641.0302092951</v>
      </c>
      <c r="M18" s="247">
        <f>'AS1'!I40</f>
        <v>777190.52543064486</v>
      </c>
      <c r="N18" s="247">
        <f>'AS1'!J40</f>
        <v>701987.39171382389</v>
      </c>
      <c r="O18" s="247">
        <f>'AS1'!K40</f>
        <v>634126.78326522012</v>
      </c>
      <c r="P18" s="247">
        <f>'AS1'!L40</f>
        <v>572887.84259649517</v>
      </c>
      <c r="Q18" s="247">
        <f>'AS1'!M40</f>
        <v>517620.72001237678</v>
      </c>
      <c r="R18" s="247">
        <f>'AS1'!N40</f>
        <v>467739.56490794284</v>
      </c>
      <c r="S18" s="247">
        <f>'AS1'!O40</f>
        <v>422716.20968441729</v>
      </c>
      <c r="T18" s="247">
        <f>'AS1'!P40</f>
        <v>382074.47778758139</v>
      </c>
      <c r="U18" s="247">
        <f>'AS1'!Q40</f>
        <v>345385.05414967891</v>
      </c>
      <c r="V18" s="247">
        <f>'AS1'!R40</f>
        <v>312260.86242180777</v>
      </c>
      <c r="W18" s="247">
        <f>'AS1'!S40</f>
        <v>282352.89888565202</v>
      </c>
      <c r="X18" s="247">
        <f>'AS1'!T40</f>
        <v>255346.47789080307</v>
      </c>
      <c r="Y18" s="247">
        <f>'AS1'!U40</f>
        <v>230957.84813074916</v>
      </c>
      <c r="Z18" s="247">
        <f>'AS1'!V40</f>
        <v>208931.14309542358</v>
      </c>
      <c r="AA18" s="247">
        <f>'AS1'!W40</f>
        <v>189035.63266474777</v>
      </c>
      <c r="AB18" s="247">
        <f>'AS1'!X40</f>
        <v>171063.24607529835</v>
      </c>
      <c r="AC18" s="247"/>
    </row>
    <row r="19" spans="1:29" ht="17">
      <c r="A19" s="191"/>
      <c r="E19" s="193"/>
      <c r="F19" s="452" t="s">
        <v>67</v>
      </c>
      <c r="G19" s="453" t="s">
        <v>76</v>
      </c>
      <c r="H19" s="454"/>
      <c r="I19" s="455">
        <f>'AS1'!E28</f>
        <v>8847145</v>
      </c>
      <c r="J19" s="455">
        <f>'AS1'!F28</f>
        <v>5272613</v>
      </c>
      <c r="K19" s="455">
        <f>'AS1'!G28</f>
        <v>4682896</v>
      </c>
      <c r="L19" s="455">
        <f>'AS1'!H28</f>
        <v>4159658</v>
      </c>
      <c r="M19" s="455">
        <f>'AS1'!I28</f>
        <v>3695367</v>
      </c>
      <c r="N19" s="455">
        <f>'AS1'!J28</f>
        <v>3283352</v>
      </c>
      <c r="O19" s="455">
        <f>'AS1'!K28</f>
        <v>2917695</v>
      </c>
      <c r="P19" s="455">
        <f>'AS1'!L28</f>
        <v>2593153</v>
      </c>
      <c r="Q19" s="455">
        <f>'AS1'!M28</f>
        <v>2305075</v>
      </c>
      <c r="R19" s="455">
        <f>'AS1'!N28</f>
        <v>2049342</v>
      </c>
      <c r="S19" s="455">
        <f>'AS1'!O28</f>
        <v>1985779</v>
      </c>
      <c r="T19" s="455">
        <f>'AS1'!P28</f>
        <v>1977329</v>
      </c>
      <c r="U19" s="455">
        <f>'AS1'!Q28</f>
        <v>1969437</v>
      </c>
      <c r="V19" s="455">
        <f>'AS1'!R28</f>
        <v>1962066</v>
      </c>
      <c r="W19" s="455">
        <f>'AS1'!S28</f>
        <v>1955182</v>
      </c>
      <c r="X19" s="455">
        <f>'AS1'!T28</f>
        <v>1948752</v>
      </c>
      <c r="Y19" s="455">
        <f>'AS1'!U28</f>
        <v>1942746</v>
      </c>
      <c r="Z19" s="455">
        <f>'AS1'!V28</f>
        <v>1937136.5973766744</v>
      </c>
      <c r="AA19" s="455">
        <f>'AS1'!W28</f>
        <v>74142</v>
      </c>
      <c r="AB19" s="455">
        <f>'AS1'!X28</f>
        <v>69249</v>
      </c>
      <c r="AC19" s="247"/>
    </row>
    <row r="20" spans="1:29" ht="17">
      <c r="A20" s="191"/>
      <c r="D20" s="193" t="s">
        <v>69</v>
      </c>
      <c r="E20" s="193"/>
      <c r="I20" s="250">
        <f>I7-I13</f>
        <v>15277493.280944668</v>
      </c>
      <c r="J20" s="250">
        <f>J7-J13</f>
        <v>16799048.51066681</v>
      </c>
      <c r="K20" s="250">
        <f t="shared" ref="K20:AB20" si="7">K7-K13</f>
        <v>17567684.555397041</v>
      </c>
      <c r="L20" s="250">
        <f t="shared" si="7"/>
        <v>18147756.190208782</v>
      </c>
      <c r="M20" s="250">
        <f t="shared" si="7"/>
        <v>18208163.76471445</v>
      </c>
      <c r="N20" s="250">
        <f>N7-N13</f>
        <v>18859505.369923536</v>
      </c>
      <c r="O20" s="250">
        <f t="shared" si="7"/>
        <v>19326757.017790712</v>
      </c>
      <c r="P20" s="250">
        <f t="shared" si="7"/>
        <v>19772537.958459437</v>
      </c>
      <c r="Q20" s="250">
        <f t="shared" si="7"/>
        <v>20055883.081043556</v>
      </c>
      <c r="R20" s="250">
        <f t="shared" si="7"/>
        <v>20421497.236147992</v>
      </c>
      <c r="S20" s="250">
        <f t="shared" si="7"/>
        <v>20020083.591371514</v>
      </c>
      <c r="T20" s="250">
        <f t="shared" si="7"/>
        <v>20579175.323268354</v>
      </c>
      <c r="U20" s="250">
        <f t="shared" si="7"/>
        <v>20563756.746906254</v>
      </c>
      <c r="V20" s="250">
        <f>V7-V13</f>
        <v>20664251.938634127</v>
      </c>
      <c r="W20" s="250">
        <f t="shared" si="7"/>
        <v>20641043.902170282</v>
      </c>
      <c r="X20" s="250">
        <f>X7-X13</f>
        <v>20584480.32316513</v>
      </c>
      <c r="Y20" s="250">
        <f t="shared" si="7"/>
        <v>20704874.952925183</v>
      </c>
      <c r="Z20" s="250">
        <f t="shared" si="7"/>
        <v>20792511.060583837</v>
      </c>
      <c r="AA20" s="250">
        <f t="shared" si="7"/>
        <v>22615401.168391187</v>
      </c>
      <c r="AB20" s="250">
        <f t="shared" si="7"/>
        <v>22698266.554980636</v>
      </c>
      <c r="AC20" s="251"/>
    </row>
    <row r="21" spans="1:29" ht="17">
      <c r="A21" s="191"/>
      <c r="C21" s="193" t="s">
        <v>64</v>
      </c>
      <c r="D21" s="193"/>
      <c r="E21" s="193"/>
      <c r="I21" s="246"/>
      <c r="J21" s="252"/>
      <c r="K21" s="253"/>
      <c r="L21" s="197"/>
      <c r="M21" s="197"/>
      <c r="N21" s="197"/>
      <c r="O21" s="197"/>
      <c r="P21" s="197"/>
      <c r="Q21" s="197"/>
      <c r="R21" s="197"/>
      <c r="S21" s="197"/>
      <c r="T21" s="197"/>
      <c r="U21" s="197"/>
      <c r="V21" s="197"/>
      <c r="W21" s="197"/>
      <c r="X21" s="197"/>
      <c r="Y21" s="197"/>
      <c r="Z21" s="197"/>
      <c r="AC21" s="254"/>
    </row>
    <row r="22" spans="1:29" ht="17">
      <c r="A22" s="191"/>
      <c r="C22" s="193"/>
      <c r="D22" s="193"/>
      <c r="E22" s="193" t="s">
        <v>152</v>
      </c>
      <c r="G22" s="255" t="s">
        <v>96</v>
      </c>
      <c r="I22" s="246">
        <f>500000/12*I4</f>
        <v>500000</v>
      </c>
      <c r="J22" s="246">
        <f t="shared" ref="J22:AB22" si="8">500000/12*J4</f>
        <v>500000</v>
      </c>
      <c r="K22" s="246">
        <f t="shared" si="8"/>
        <v>500000</v>
      </c>
      <c r="L22" s="246">
        <f t="shared" si="8"/>
        <v>500000</v>
      </c>
      <c r="M22" s="246">
        <f t="shared" si="8"/>
        <v>500000</v>
      </c>
      <c r="N22" s="246">
        <f t="shared" si="8"/>
        <v>500000</v>
      </c>
      <c r="O22" s="246">
        <f t="shared" si="8"/>
        <v>500000</v>
      </c>
      <c r="P22" s="246">
        <f t="shared" si="8"/>
        <v>500000</v>
      </c>
      <c r="Q22" s="246">
        <f t="shared" si="8"/>
        <v>500000</v>
      </c>
      <c r="R22" s="246">
        <f t="shared" si="8"/>
        <v>500000</v>
      </c>
      <c r="S22" s="246">
        <f t="shared" si="8"/>
        <v>500000</v>
      </c>
      <c r="T22" s="246">
        <f t="shared" si="8"/>
        <v>500000</v>
      </c>
      <c r="U22" s="246">
        <f t="shared" si="8"/>
        <v>500000</v>
      </c>
      <c r="V22" s="246">
        <f t="shared" si="8"/>
        <v>500000</v>
      </c>
      <c r="W22" s="246">
        <f t="shared" si="8"/>
        <v>500000</v>
      </c>
      <c r="X22" s="246">
        <f t="shared" si="8"/>
        <v>500000</v>
      </c>
      <c r="Y22" s="246">
        <f t="shared" si="8"/>
        <v>500000</v>
      </c>
      <c r="Z22" s="246">
        <f t="shared" si="8"/>
        <v>500000</v>
      </c>
      <c r="AA22" s="246">
        <f t="shared" si="8"/>
        <v>500000</v>
      </c>
      <c r="AB22" s="246">
        <f t="shared" si="8"/>
        <v>500000</v>
      </c>
      <c r="AC22" s="247"/>
    </row>
    <row r="23" spans="1:29" ht="17">
      <c r="A23" s="191"/>
      <c r="C23" s="193"/>
      <c r="D23" s="193"/>
      <c r="E23" s="193" t="s">
        <v>5</v>
      </c>
      <c r="G23" s="255"/>
      <c r="I23" s="246">
        <f>IF(事業主体="自治体",0,保険料!F15)</f>
        <v>85000</v>
      </c>
      <c r="J23" s="246">
        <f>IF(事業主体="自治体",0,保険料!G15)</f>
        <v>85000</v>
      </c>
      <c r="K23" s="246">
        <f>IF(事業主体="自治体",0,保険料!H15)</f>
        <v>85000</v>
      </c>
      <c r="L23" s="246">
        <f>IF(事業主体="自治体",0,保険料!I15)</f>
        <v>85000</v>
      </c>
      <c r="M23" s="246">
        <f>IF(事業主体="自治体",0,保険料!J15)</f>
        <v>85000</v>
      </c>
      <c r="N23" s="246">
        <f>IF(事業主体="自治体",0,保険料!K15)</f>
        <v>85000</v>
      </c>
      <c r="O23" s="246">
        <f>IF(事業主体="自治体",0,保険料!L15)</f>
        <v>85000</v>
      </c>
      <c r="P23" s="246">
        <f>IF(事業主体="自治体",0,保険料!M15)</f>
        <v>85000</v>
      </c>
      <c r="Q23" s="246">
        <f>IF(事業主体="自治体",0,保険料!N15)</f>
        <v>85000</v>
      </c>
      <c r="R23" s="246">
        <f>IF(事業主体="自治体",0,保険料!O15)</f>
        <v>85000</v>
      </c>
      <c r="S23" s="246">
        <f>IF(事業主体="自治体",0,保険料!P15)</f>
        <v>85000</v>
      </c>
      <c r="T23" s="246">
        <f>IF(事業主体="自治体",0,保険料!Q15)</f>
        <v>85000</v>
      </c>
      <c r="U23" s="246">
        <f>IF(事業主体="自治体",0,保険料!R15)</f>
        <v>85000</v>
      </c>
      <c r="V23" s="246">
        <f>IF(事業主体="自治体",0,保険料!S15)</f>
        <v>85000</v>
      </c>
      <c r="W23" s="246">
        <f>IF(事業主体="自治体",0,保険料!T15)</f>
        <v>85000</v>
      </c>
      <c r="X23" s="246">
        <f>IF(事業主体="自治体",0,保険料!U15)</f>
        <v>85000</v>
      </c>
      <c r="Y23" s="246">
        <f>IF(事業主体="自治体",0,保険料!V15)</f>
        <v>85000</v>
      </c>
      <c r="Z23" s="246">
        <f>IF(事業主体="自治体",0,保険料!W15)</f>
        <v>85000</v>
      </c>
      <c r="AA23" s="246">
        <f>IF(事業主体="自治体",0,保険料!X15)</f>
        <v>85000</v>
      </c>
      <c r="AB23" s="246">
        <f>IF(事業主体="自治体",0,保険料!Y15)</f>
        <v>85000</v>
      </c>
      <c r="AC23" s="247"/>
    </row>
    <row r="24" spans="1:29" ht="17">
      <c r="A24" s="191"/>
      <c r="D24" s="193" t="s">
        <v>72</v>
      </c>
      <c r="E24" s="193"/>
      <c r="I24" s="250">
        <f>I20-SUM(I22:I23)</f>
        <v>14692493.280944668</v>
      </c>
      <c r="J24" s="250">
        <f>J20-SUM(J22:J23)</f>
        <v>16214048.51066681</v>
      </c>
      <c r="K24" s="250">
        <f t="shared" ref="K24:AB24" si="9">K20-SUM(K22:K23)</f>
        <v>16982684.555397041</v>
      </c>
      <c r="L24" s="256">
        <f t="shared" si="9"/>
        <v>17562756.190208782</v>
      </c>
      <c r="M24" s="256">
        <f t="shared" si="9"/>
        <v>17623163.76471445</v>
      </c>
      <c r="N24" s="256">
        <f>N20-SUM(N22:N23)</f>
        <v>18274505.369923536</v>
      </c>
      <c r="O24" s="256">
        <f t="shared" si="9"/>
        <v>18741757.017790712</v>
      </c>
      <c r="P24" s="256">
        <f>P20-SUM(P22:P23)</f>
        <v>19187537.958459437</v>
      </c>
      <c r="Q24" s="256">
        <f t="shared" si="9"/>
        <v>19470883.081043556</v>
      </c>
      <c r="R24" s="256">
        <f t="shared" si="9"/>
        <v>19836497.236147992</v>
      </c>
      <c r="S24" s="256">
        <f t="shared" si="9"/>
        <v>19435083.591371514</v>
      </c>
      <c r="T24" s="256">
        <f t="shared" si="9"/>
        <v>19994175.323268354</v>
      </c>
      <c r="U24" s="256">
        <f t="shared" si="9"/>
        <v>19978756.746906254</v>
      </c>
      <c r="V24" s="256">
        <f t="shared" si="9"/>
        <v>20079251.938634127</v>
      </c>
      <c r="W24" s="256">
        <f t="shared" si="9"/>
        <v>20056043.902170282</v>
      </c>
      <c r="X24" s="256">
        <f>X20-SUM(X22:X23)</f>
        <v>19999480.32316513</v>
      </c>
      <c r="Y24" s="256">
        <f>Y20-SUM(Y22:Y23)</f>
        <v>20119874.952925183</v>
      </c>
      <c r="Z24" s="256">
        <f t="shared" si="9"/>
        <v>20207511.060583837</v>
      </c>
      <c r="AA24" s="256">
        <f t="shared" si="9"/>
        <v>22030401.168391187</v>
      </c>
      <c r="AB24" s="256">
        <f t="shared" si="9"/>
        <v>22113266.554980636</v>
      </c>
      <c r="AC24" s="257"/>
    </row>
    <row r="25" spans="1:29" ht="17">
      <c r="A25" s="191"/>
      <c r="C25" s="193" t="s">
        <v>87</v>
      </c>
      <c r="D25" s="193"/>
      <c r="E25" s="193"/>
      <c r="I25" s="246"/>
      <c r="J25" s="246"/>
      <c r="K25" s="246"/>
      <c r="L25" s="197"/>
      <c r="M25" s="197"/>
      <c r="N25" s="197"/>
      <c r="O25" s="197"/>
      <c r="P25" s="197"/>
      <c r="Q25" s="197"/>
      <c r="R25" s="197"/>
      <c r="S25" s="197"/>
      <c r="T25" s="197"/>
      <c r="U25" s="197"/>
      <c r="V25" s="197"/>
      <c r="W25" s="197"/>
      <c r="X25" s="197"/>
      <c r="Y25" s="197"/>
      <c r="AC25" s="254"/>
    </row>
    <row r="26" spans="1:29" ht="17">
      <c r="A26" s="191"/>
      <c r="E26" s="193" t="s">
        <v>23</v>
      </c>
      <c r="G26" s="255" t="s">
        <v>137</v>
      </c>
      <c r="I26" s="246">
        <f>補助金合計</f>
        <v>22615096.970304284</v>
      </c>
      <c r="J26" s="246"/>
      <c r="K26" s="246"/>
      <c r="L26" s="197"/>
      <c r="M26" s="197"/>
      <c r="N26" s="197"/>
      <c r="O26" s="197"/>
      <c r="P26" s="197"/>
      <c r="Q26" s="197"/>
      <c r="R26" s="197"/>
      <c r="S26" s="197"/>
      <c r="T26" s="197"/>
      <c r="U26" s="197"/>
      <c r="V26" s="197"/>
      <c r="W26" s="197"/>
      <c r="X26" s="197"/>
      <c r="Y26" s="197"/>
      <c r="Z26" s="197"/>
      <c r="AA26" s="197"/>
      <c r="AB26" s="197"/>
      <c r="AC26" s="149"/>
    </row>
    <row r="27" spans="1:29" ht="17">
      <c r="A27" s="191"/>
      <c r="C27" s="193" t="s">
        <v>22</v>
      </c>
      <c r="I27" s="246"/>
      <c r="J27" s="246"/>
      <c r="K27" s="246"/>
      <c r="L27" s="197"/>
      <c r="M27" s="197"/>
      <c r="N27" s="197"/>
      <c r="O27" s="197"/>
      <c r="P27" s="197"/>
      <c r="Q27" s="197"/>
      <c r="R27" s="197"/>
      <c r="S27" s="197"/>
      <c r="T27" s="197"/>
      <c r="U27" s="197"/>
      <c r="V27" s="197"/>
      <c r="W27" s="197"/>
      <c r="X27" s="197"/>
      <c r="Y27" s="197"/>
      <c r="AC27" s="254"/>
    </row>
    <row r="28" spans="1:29" s="138" customFormat="1" ht="17">
      <c r="E28" s="138" t="s">
        <v>604</v>
      </c>
      <c r="G28" s="145" t="s">
        <v>31</v>
      </c>
      <c r="I28" s="246">
        <f>'FNC1'!E11+'FNC1'!E16</f>
        <v>8466184.0056814048</v>
      </c>
      <c r="J28" s="246">
        <f>'FNC1'!F11+'FNC1'!F16</f>
        <v>8138080.1473577106</v>
      </c>
      <c r="K28" s="246">
        <f>'FNC1'!G11+'FNC1'!G16</f>
        <v>7801445.5887176031</v>
      </c>
      <c r="L28" s="246">
        <f>'FNC1'!H11+'FNC1'!H16</f>
        <v>7456058.5315528512</v>
      </c>
      <c r="M28" s="246">
        <f>'FNC1'!I11+'FNC1'!I16</f>
        <v>7101691.4109018128</v>
      </c>
      <c r="N28" s="246">
        <f>'FNC1'!J11+'FNC1'!J16</f>
        <v>6738110.7451138515</v>
      </c>
      <c r="O28" s="246">
        <f>'FNC1'!K11+'FNC1'!K16</f>
        <v>6365076.9820154002</v>
      </c>
      <c r="P28" s="246">
        <f>'FNC1'!L11+'FNC1'!L16</f>
        <v>5982344.3410763917</v>
      </c>
      <c r="Q28" s="246">
        <f>'FNC1'!M11+'FNC1'!M16</f>
        <v>5589660.6514729671</v>
      </c>
      <c r="R28" s="246">
        <f>'FNC1'!N11+'FNC1'!N16</f>
        <v>5186767.1859398531</v>
      </c>
      <c r="S28" s="246">
        <f>'FNC1'!O11+'FNC1'!O16</f>
        <v>4773398.4903028803</v>
      </c>
      <c r="T28" s="246">
        <f>'FNC1'!P11+'FNC1'!P16</f>
        <v>4349282.2085793447</v>
      </c>
      <c r="U28" s="246">
        <f>'FNC1'!Q11+'FNC1'!Q16</f>
        <v>3914138.9035309977</v>
      </c>
      <c r="V28" s="246">
        <f>'FNC1'!R11+'FNC1'!R16</f>
        <v>3467681.8725513932</v>
      </c>
      <c r="W28" s="246">
        <f>'FNC1'!S11+'FNC1'!S16</f>
        <v>3009616.9587663193</v>
      </c>
      <c r="X28" s="246">
        <f>'FNC1'!T11+'FNC1'!T16</f>
        <v>2539642.3572228337</v>
      </c>
      <c r="Y28" s="246">
        <f>'FNC1'!U11+'FNC1'!U16</f>
        <v>2057448.4160392173</v>
      </c>
      <c r="Z28" s="246">
        <f>'FNC1'!V11+'FNC1'!V16</f>
        <v>1562717.4323848267</v>
      </c>
      <c r="AA28" s="246">
        <f>'FNC1'!W11+'FNC1'!W16</f>
        <v>1055123.4431554221</v>
      </c>
      <c r="AB28" s="246">
        <f>'FNC1'!X11+'FNC1'!X16</f>
        <v>534332.0102060528</v>
      </c>
      <c r="AC28" s="247"/>
    </row>
    <row r="29" spans="1:29" ht="17">
      <c r="A29" s="191"/>
      <c r="C29" s="193"/>
      <c r="E29" s="249" t="s">
        <v>54</v>
      </c>
      <c r="F29" s="138"/>
      <c r="G29" s="255"/>
      <c r="H29" s="138"/>
      <c r="I29" s="246">
        <f>補助金合計</f>
        <v>22615096.970304284</v>
      </c>
      <c r="J29" s="246">
        <v>0</v>
      </c>
      <c r="K29" s="246"/>
      <c r="L29" s="197"/>
      <c r="M29" s="197"/>
      <c r="N29" s="197"/>
      <c r="O29" s="197"/>
      <c r="P29" s="197"/>
      <c r="Q29" s="197"/>
      <c r="R29" s="197"/>
      <c r="S29" s="197"/>
      <c r="T29" s="197"/>
      <c r="U29" s="197"/>
      <c r="V29" s="197"/>
      <c r="W29" s="197"/>
      <c r="X29" s="197"/>
      <c r="Y29" s="197"/>
      <c r="Z29" s="197"/>
      <c r="AA29" s="197"/>
      <c r="AB29" s="197"/>
      <c r="AC29" s="149"/>
    </row>
    <row r="30" spans="1:29" ht="17">
      <c r="A30" s="191"/>
      <c r="D30" s="193" t="s">
        <v>62</v>
      </c>
      <c r="I30" s="197">
        <f>I24+I26-SUM(I28:I29)</f>
        <v>6226309.2752632648</v>
      </c>
      <c r="J30" s="197">
        <f t="shared" ref="J30:AB30" si="10">J24-SUM(J28:J29)</f>
        <v>8075968.3633090993</v>
      </c>
      <c r="K30" s="197">
        <f t="shared" si="10"/>
        <v>9181238.9666794389</v>
      </c>
      <c r="L30" s="197">
        <f t="shared" si="10"/>
        <v>10106697.65865593</v>
      </c>
      <c r="M30" s="197">
        <f t="shared" si="10"/>
        <v>10521472.353812637</v>
      </c>
      <c r="N30" s="197">
        <f t="shared" si="10"/>
        <v>11536394.624809684</v>
      </c>
      <c r="O30" s="197">
        <f t="shared" si="10"/>
        <v>12376680.035775311</v>
      </c>
      <c r="P30" s="197">
        <f t="shared" si="10"/>
        <v>13205193.617383044</v>
      </c>
      <c r="Q30" s="197">
        <f t="shared" si="10"/>
        <v>13881222.429570589</v>
      </c>
      <c r="R30" s="197">
        <f t="shared" si="10"/>
        <v>14649730.05020814</v>
      </c>
      <c r="S30" s="197">
        <f t="shared" si="10"/>
        <v>14661685.101068635</v>
      </c>
      <c r="T30" s="197">
        <f t="shared" si="10"/>
        <v>15644893.114689009</v>
      </c>
      <c r="U30" s="197">
        <f t="shared" si="10"/>
        <v>16064617.843375256</v>
      </c>
      <c r="V30" s="197">
        <f t="shared" si="10"/>
        <v>16611570.066082735</v>
      </c>
      <c r="W30" s="197">
        <f t="shared" si="10"/>
        <v>17046426.943403963</v>
      </c>
      <c r="X30" s="197">
        <f t="shared" si="10"/>
        <v>17459837.965942297</v>
      </c>
      <c r="Y30" s="197">
        <f t="shared" si="10"/>
        <v>18062426.536885966</v>
      </c>
      <c r="Z30" s="197">
        <f t="shared" si="10"/>
        <v>18644793.628199011</v>
      </c>
      <c r="AA30" s="197">
        <f t="shared" si="10"/>
        <v>20975277.725235764</v>
      </c>
      <c r="AB30" s="197">
        <f t="shared" si="10"/>
        <v>21578934.544774584</v>
      </c>
      <c r="AC30" s="257"/>
    </row>
    <row r="31" spans="1:29" ht="17">
      <c r="A31" s="191"/>
      <c r="B31" s="235" t="s">
        <v>251</v>
      </c>
      <c r="D31" s="193"/>
      <c r="E31" s="193"/>
      <c r="I31" s="197">
        <f t="shared" ref="I31:AB31" si="11">IF(事業主体="自治体",0,IF(I30&gt;70000,I30*0.4,70000))</f>
        <v>2490523.710105306</v>
      </c>
      <c r="J31" s="197">
        <f t="shared" si="11"/>
        <v>3230387.3453236399</v>
      </c>
      <c r="K31" s="197">
        <f t="shared" si="11"/>
        <v>3672495.5866717757</v>
      </c>
      <c r="L31" s="197">
        <f t="shared" si="11"/>
        <v>4042679.0634623724</v>
      </c>
      <c r="M31" s="197">
        <f t="shared" si="11"/>
        <v>4208588.9415250551</v>
      </c>
      <c r="N31" s="197">
        <f t="shared" si="11"/>
        <v>4614557.8499238743</v>
      </c>
      <c r="O31" s="197">
        <f t="shared" si="11"/>
        <v>4950672.0143101243</v>
      </c>
      <c r="P31" s="197">
        <f t="shared" si="11"/>
        <v>5282077.4469532184</v>
      </c>
      <c r="Q31" s="197">
        <f t="shared" si="11"/>
        <v>5552488.9718282362</v>
      </c>
      <c r="R31" s="197">
        <f t="shared" si="11"/>
        <v>5859892.0200832561</v>
      </c>
      <c r="S31" s="197">
        <f t="shared" si="11"/>
        <v>5864674.0404274538</v>
      </c>
      <c r="T31" s="197">
        <f t="shared" si="11"/>
        <v>6257957.2458756045</v>
      </c>
      <c r="U31" s="197">
        <f t="shared" si="11"/>
        <v>6425847.1373501029</v>
      </c>
      <c r="V31" s="197">
        <f t="shared" si="11"/>
        <v>6644628.0264330944</v>
      </c>
      <c r="W31" s="197">
        <f t="shared" si="11"/>
        <v>6818570.7773615858</v>
      </c>
      <c r="X31" s="197">
        <f t="shared" si="11"/>
        <v>6983935.186376919</v>
      </c>
      <c r="Y31" s="197">
        <f t="shared" si="11"/>
        <v>7224970.6147543862</v>
      </c>
      <c r="Z31" s="197">
        <f t="shared" si="11"/>
        <v>7457917.4512796048</v>
      </c>
      <c r="AA31" s="197">
        <f t="shared" si="11"/>
        <v>8390111.0900943056</v>
      </c>
      <c r="AB31" s="197">
        <f t="shared" si="11"/>
        <v>8631573.8179098349</v>
      </c>
      <c r="AC31" s="149"/>
    </row>
    <row r="32" spans="1:29" ht="17">
      <c r="A32" s="258"/>
      <c r="B32" s="259"/>
      <c r="C32" s="259"/>
      <c r="D32" s="260" t="s">
        <v>252</v>
      </c>
      <c r="E32" s="261"/>
      <c r="F32" s="259"/>
      <c r="G32" s="262"/>
      <c r="H32" s="259"/>
      <c r="I32" s="263">
        <f>I30-I31</f>
        <v>3735785.5651579588</v>
      </c>
      <c r="J32" s="263">
        <f>J30-J31</f>
        <v>4845581.0179854594</v>
      </c>
      <c r="K32" s="263">
        <f>K30-K31</f>
        <v>5508743.3800076637</v>
      </c>
      <c r="L32" s="263">
        <f t="shared" ref="L32:AB32" si="12">L30-L31</f>
        <v>6064018.5951935574</v>
      </c>
      <c r="M32" s="263">
        <f t="shared" si="12"/>
        <v>6312883.4122875817</v>
      </c>
      <c r="N32" s="263">
        <f t="shared" si="12"/>
        <v>6921836.77488581</v>
      </c>
      <c r="O32" s="263">
        <f t="shared" si="12"/>
        <v>7426008.021465187</v>
      </c>
      <c r="P32" s="263">
        <f t="shared" si="12"/>
        <v>7923116.1704298258</v>
      </c>
      <c r="Q32" s="263">
        <f t="shared" si="12"/>
        <v>8328733.457742353</v>
      </c>
      <c r="R32" s="263">
        <f t="shared" si="12"/>
        <v>8789838.0301248841</v>
      </c>
      <c r="S32" s="263">
        <f t="shared" si="12"/>
        <v>8797011.0606411807</v>
      </c>
      <c r="T32" s="263">
        <f t="shared" si="12"/>
        <v>9386935.8688134048</v>
      </c>
      <c r="U32" s="263">
        <f t="shared" si="12"/>
        <v>9638770.7060251534</v>
      </c>
      <c r="V32" s="263">
        <f t="shared" si="12"/>
        <v>9966942.0396496393</v>
      </c>
      <c r="W32" s="263">
        <f t="shared" si="12"/>
        <v>10227856.166042376</v>
      </c>
      <c r="X32" s="263">
        <f>X30-X31</f>
        <v>10475902.779565379</v>
      </c>
      <c r="Y32" s="263">
        <f t="shared" si="12"/>
        <v>10837455.922131579</v>
      </c>
      <c r="Z32" s="263">
        <f t="shared" si="12"/>
        <v>11186876.176919406</v>
      </c>
      <c r="AA32" s="263">
        <f t="shared" si="12"/>
        <v>12585166.635141458</v>
      </c>
      <c r="AB32" s="263">
        <f t="shared" si="12"/>
        <v>12947360.72686475</v>
      </c>
      <c r="AC32" s="147"/>
    </row>
    <row r="33" spans="1:29" ht="17">
      <c r="A33" s="191"/>
      <c r="D33" s="235"/>
      <c r="E33" s="193"/>
      <c r="I33" s="256"/>
      <c r="J33" s="256"/>
      <c r="K33" s="256"/>
      <c r="L33" s="256"/>
      <c r="M33" s="256"/>
      <c r="N33" s="256"/>
      <c r="O33" s="256"/>
      <c r="P33" s="256"/>
      <c r="Q33" s="256"/>
      <c r="R33" s="256"/>
      <c r="S33" s="256"/>
      <c r="T33" s="256"/>
      <c r="U33" s="256"/>
      <c r="V33" s="256"/>
      <c r="W33" s="256"/>
      <c r="X33" s="256"/>
      <c r="Y33" s="256"/>
      <c r="Z33" s="256"/>
      <c r="AA33" s="256"/>
      <c r="AB33" s="256"/>
      <c r="AC33" s="147"/>
    </row>
    <row r="34" spans="1:29" ht="17">
      <c r="A34" s="191"/>
      <c r="D34" s="235"/>
      <c r="E34" s="193"/>
      <c r="I34" s="256"/>
      <c r="J34" s="256"/>
      <c r="K34" s="256"/>
      <c r="L34" s="256"/>
      <c r="M34" s="256"/>
      <c r="N34" s="256"/>
      <c r="O34" s="256"/>
      <c r="P34" s="256"/>
      <c r="Q34" s="256"/>
      <c r="R34" s="256"/>
      <c r="S34" s="256"/>
      <c r="T34" s="256"/>
      <c r="U34" s="256"/>
      <c r="V34" s="256"/>
      <c r="W34" s="256"/>
      <c r="X34" s="256"/>
      <c r="Y34" s="256"/>
      <c r="Z34" s="256"/>
      <c r="AA34" s="256"/>
      <c r="AB34" s="256"/>
      <c r="AC34" s="147"/>
    </row>
    <row r="35" spans="1:29" s="112" customFormat="1" ht="20">
      <c r="A35" s="135" t="s">
        <v>98</v>
      </c>
      <c r="B35" s="264"/>
      <c r="C35" s="264"/>
      <c r="D35" s="264"/>
      <c r="E35" s="264"/>
      <c r="F35" s="264"/>
      <c r="G35" s="136"/>
      <c r="H35" s="264"/>
      <c r="I35" s="476">
        <f>I44-I36</f>
        <v>0</v>
      </c>
      <c r="J35" s="476">
        <f>J44-J36</f>
        <v>0</v>
      </c>
      <c r="K35" s="477">
        <f>K44-K36</f>
        <v>0</v>
      </c>
      <c r="L35" s="477">
        <f t="shared" ref="L35:AB35" si="13">L44-L36</f>
        <v>0</v>
      </c>
      <c r="M35" s="477">
        <f t="shared" si="13"/>
        <v>0</v>
      </c>
      <c r="N35" s="477">
        <f t="shared" si="13"/>
        <v>0</v>
      </c>
      <c r="O35" s="477">
        <f>O44-O36</f>
        <v>0</v>
      </c>
      <c r="P35" s="477">
        <f t="shared" si="13"/>
        <v>0</v>
      </c>
      <c r="Q35" s="477">
        <f t="shared" si="13"/>
        <v>0</v>
      </c>
      <c r="R35" s="477">
        <f>R44-R36</f>
        <v>0</v>
      </c>
      <c r="S35" s="477">
        <f t="shared" si="13"/>
        <v>0</v>
      </c>
      <c r="T35" s="477">
        <f t="shared" si="13"/>
        <v>0</v>
      </c>
      <c r="U35" s="477">
        <f t="shared" si="13"/>
        <v>0</v>
      </c>
      <c r="V35" s="477">
        <f t="shared" si="13"/>
        <v>0</v>
      </c>
      <c r="W35" s="477">
        <f t="shared" si="13"/>
        <v>0</v>
      </c>
      <c r="X35" s="477">
        <f t="shared" si="13"/>
        <v>0</v>
      </c>
      <c r="Y35" s="477">
        <f>Y44-Y36</f>
        <v>0</v>
      </c>
      <c r="Z35" s="477">
        <f t="shared" si="13"/>
        <v>0</v>
      </c>
      <c r="AA35" s="477">
        <f t="shared" si="13"/>
        <v>0</v>
      </c>
      <c r="AB35" s="477">
        <f t="shared" si="13"/>
        <v>0</v>
      </c>
      <c r="AC35" s="137"/>
    </row>
    <row r="36" spans="1:29" s="142" customFormat="1" ht="17">
      <c r="A36" s="192"/>
      <c r="B36" s="139" t="s">
        <v>118</v>
      </c>
      <c r="C36" s="139"/>
      <c r="D36" s="139"/>
      <c r="E36" s="139"/>
      <c r="F36" s="139"/>
      <c r="G36" s="140"/>
      <c r="H36" s="139"/>
      <c r="I36" s="141">
        <f>SUM(I37:I43)</f>
        <v>320229391.8659445</v>
      </c>
      <c r="J36" s="141">
        <f>SUM(J37:J43)</f>
        <v>313967778.03513205</v>
      </c>
      <c r="K36" s="141">
        <f t="shared" ref="K36:AB36" si="14">SUM(K37:K43)</f>
        <v>306641648.9653098</v>
      </c>
      <c r="L36" s="141">
        <f t="shared" si="14"/>
        <v>299447551.9596054</v>
      </c>
      <c r="M36" s="141">
        <f t="shared" si="14"/>
        <v>291945256.7923665</v>
      </c>
      <c r="N36" s="141">
        <f t="shared" si="14"/>
        <v>284933816.22236234</v>
      </c>
      <c r="O36" s="141">
        <f t="shared" si="14"/>
        <v>277977138.92022276</v>
      </c>
      <c r="P36" s="141">
        <f t="shared" si="14"/>
        <v>271131441.69239479</v>
      </c>
      <c r="Q36" s="141">
        <f t="shared" si="14"/>
        <v>264231684.15450782</v>
      </c>
      <c r="R36" s="141">
        <f t="shared" si="14"/>
        <v>257433129.24685025</v>
      </c>
      <c r="S36" s="141">
        <f>SUM(S37:S43)</f>
        <v>249897257.6461612</v>
      </c>
      <c r="T36" s="141">
        <f t="shared" si="14"/>
        <v>242966695.75702479</v>
      </c>
      <c r="U36" s="141">
        <f t="shared" si="14"/>
        <v>235598932.08607814</v>
      </c>
      <c r="V36" s="141">
        <f t="shared" si="14"/>
        <v>228169773.71538484</v>
      </c>
      <c r="W36" s="141">
        <f t="shared" si="14"/>
        <v>220492626.41914472</v>
      </c>
      <c r="X36" s="141">
        <f t="shared" si="14"/>
        <v>212583472.79297096</v>
      </c>
      <c r="Y36" s="141">
        <f>SUM(Y37:Y43)</f>
        <v>204638349.38754189</v>
      </c>
      <c r="Z36" s="141">
        <f t="shared" si="14"/>
        <v>196538326.66139403</v>
      </c>
      <c r="AA36" s="141">
        <f t="shared" si="14"/>
        <v>190022247.20652831</v>
      </c>
      <c r="AB36" s="141">
        <f t="shared" si="14"/>
        <v>182662839.49943736</v>
      </c>
      <c r="AC36" s="141"/>
    </row>
    <row r="37" spans="1:29" s="112" customFormat="1" ht="17">
      <c r="A37" s="192"/>
      <c r="B37" s="54" t="s">
        <v>51</v>
      </c>
      <c r="C37" s="54"/>
      <c r="D37" s="54"/>
      <c r="E37" s="54"/>
      <c r="F37" s="54"/>
      <c r="G37" s="143"/>
      <c r="H37" s="54"/>
      <c r="I37" s="144"/>
      <c r="J37" s="144"/>
      <c r="K37" s="144"/>
      <c r="L37" s="144"/>
      <c r="M37" s="144"/>
      <c r="N37" s="144"/>
      <c r="O37" s="144"/>
      <c r="P37" s="144"/>
      <c r="Q37" s="144"/>
      <c r="R37" s="144"/>
      <c r="S37" s="144"/>
      <c r="T37" s="144"/>
      <c r="U37" s="144"/>
      <c r="V37" s="144"/>
      <c r="W37" s="144"/>
      <c r="X37" s="144"/>
      <c r="Y37" s="144"/>
      <c r="Z37" s="144"/>
      <c r="AA37" s="144"/>
      <c r="AB37" s="144"/>
      <c r="AC37" s="144"/>
    </row>
    <row r="38" spans="1:29" s="112" customFormat="1" ht="17">
      <c r="A38" s="192"/>
      <c r="B38" s="54"/>
      <c r="C38" s="54" t="s">
        <v>56</v>
      </c>
      <c r="D38" s="54"/>
      <c r="E38" s="54"/>
      <c r="F38" s="54"/>
      <c r="G38" s="145" t="s">
        <v>575</v>
      </c>
      <c r="H38" s="54"/>
      <c r="I38" s="144">
        <f>I74</f>
        <v>223800209.43467447</v>
      </c>
      <c r="J38" s="144">
        <f>J74</f>
        <v>249834228.48167452</v>
      </c>
      <c r="K38" s="144">
        <f>K74</f>
        <v>248678766.7581518</v>
      </c>
      <c r="L38" s="144">
        <f t="shared" ref="L38:AB38" si="15">L74</f>
        <v>247107987.84402931</v>
      </c>
      <c r="M38" s="144">
        <f t="shared" si="15"/>
        <v>244649053.69864532</v>
      </c>
      <c r="N38" s="144">
        <f t="shared" si="15"/>
        <v>242164835.67900375</v>
      </c>
      <c r="O38" s="144">
        <f t="shared" si="15"/>
        <v>239275989.88780826</v>
      </c>
      <c r="P38" s="144">
        <f t="shared" si="15"/>
        <v>236173582.17092434</v>
      </c>
      <c r="Q38" s="144">
        <f t="shared" si="15"/>
        <v>232729036.14398143</v>
      </c>
      <c r="R38" s="144">
        <f>R74</f>
        <v>229129959.74726793</v>
      </c>
      <c r="S38" s="144">
        <f t="shared" si="15"/>
        <v>224730003.65752295</v>
      </c>
      <c r="T38" s="144">
        <f t="shared" si="15"/>
        <v>220926907.27933061</v>
      </c>
      <c r="U38" s="144">
        <f t="shared" si="15"/>
        <v>216678717.11932802</v>
      </c>
      <c r="V38" s="144">
        <f t="shared" si="15"/>
        <v>212361761.25957879</v>
      </c>
      <c r="W38" s="144">
        <f t="shared" si="15"/>
        <v>207789932.47428274</v>
      </c>
      <c r="X38" s="144">
        <f>X74</f>
        <v>202979667.35905305</v>
      </c>
      <c r="Y38" s="144">
        <f>Y74</f>
        <v>198127426.46456805</v>
      </c>
      <c r="Z38" s="144">
        <f t="shared" si="15"/>
        <v>193114676.84674093</v>
      </c>
      <c r="AA38" s="144">
        <f t="shared" si="15"/>
        <v>187822875.90281928</v>
      </c>
      <c r="AB38" s="144">
        <f t="shared" si="15"/>
        <v>181682853.70667237</v>
      </c>
      <c r="AC38" s="144"/>
    </row>
    <row r="39" spans="1:29" s="112" customFormat="1" ht="17">
      <c r="A39" s="192"/>
      <c r="B39" s="54"/>
      <c r="C39" s="54" t="s">
        <v>122</v>
      </c>
      <c r="D39" s="54"/>
      <c r="E39" s="54"/>
      <c r="F39" s="54"/>
      <c r="G39" s="146" t="s">
        <v>123</v>
      </c>
      <c r="H39" s="54"/>
      <c r="I39" s="144">
        <f>I29+SUM(I10:I11)</f>
        <v>22615096.970304284</v>
      </c>
      <c r="J39" s="144">
        <f t="shared" ref="J39:AB39" si="16">SUM(J10:J11)</f>
        <v>0</v>
      </c>
      <c r="K39" s="144">
        <f t="shared" si="16"/>
        <v>0</v>
      </c>
      <c r="L39" s="144">
        <f t="shared" si="16"/>
        <v>0</v>
      </c>
      <c r="M39" s="144">
        <f t="shared" si="16"/>
        <v>0</v>
      </c>
      <c r="N39" s="144">
        <f t="shared" si="16"/>
        <v>0</v>
      </c>
      <c r="O39" s="144">
        <f t="shared" si="16"/>
        <v>0</v>
      </c>
      <c r="P39" s="144">
        <f t="shared" si="16"/>
        <v>0</v>
      </c>
      <c r="Q39" s="144">
        <f t="shared" si="16"/>
        <v>0</v>
      </c>
      <c r="R39" s="144">
        <f t="shared" si="16"/>
        <v>0</v>
      </c>
      <c r="S39" s="144">
        <f t="shared" si="16"/>
        <v>0</v>
      </c>
      <c r="T39" s="144">
        <f t="shared" si="16"/>
        <v>0</v>
      </c>
      <c r="U39" s="144">
        <f t="shared" si="16"/>
        <v>0</v>
      </c>
      <c r="V39" s="144">
        <f t="shared" si="16"/>
        <v>0</v>
      </c>
      <c r="W39" s="144">
        <f t="shared" si="16"/>
        <v>0</v>
      </c>
      <c r="X39" s="144">
        <f t="shared" si="16"/>
        <v>0</v>
      </c>
      <c r="Y39" s="144">
        <f t="shared" si="16"/>
        <v>0</v>
      </c>
      <c r="Z39" s="144">
        <f t="shared" si="16"/>
        <v>0</v>
      </c>
      <c r="AA39" s="144">
        <f t="shared" si="16"/>
        <v>0</v>
      </c>
      <c r="AB39" s="144">
        <f t="shared" si="16"/>
        <v>0</v>
      </c>
      <c r="AC39" s="144"/>
    </row>
    <row r="40" spans="1:29" s="112" customFormat="1" ht="17">
      <c r="A40" s="192"/>
      <c r="B40" s="54"/>
      <c r="C40" s="54" t="s">
        <v>106</v>
      </c>
      <c r="D40" s="54"/>
      <c r="E40" s="54"/>
      <c r="F40" s="54"/>
      <c r="G40" s="143" t="s">
        <v>576</v>
      </c>
      <c r="H40" s="54"/>
      <c r="I40" s="144">
        <f>IF(I77&gt;I76,I77-I76,0)</f>
        <v>2777413.7195750619</v>
      </c>
      <c r="J40" s="144">
        <f>IF(J77&gt;J76,J77-J76,0)</f>
        <v>0</v>
      </c>
      <c r="K40" s="144">
        <f t="shared" ref="K40:AB40" si="17">IF(K77&gt;K76,K77-K76,0)</f>
        <v>0</v>
      </c>
      <c r="L40" s="144">
        <f t="shared" si="17"/>
        <v>0</v>
      </c>
      <c r="M40" s="144">
        <f t="shared" si="17"/>
        <v>0</v>
      </c>
      <c r="N40" s="144">
        <f t="shared" si="17"/>
        <v>0</v>
      </c>
      <c r="O40" s="144">
        <f t="shared" si="17"/>
        <v>0</v>
      </c>
      <c r="P40" s="144">
        <f t="shared" si="17"/>
        <v>0</v>
      </c>
      <c r="Q40" s="144">
        <f t="shared" si="17"/>
        <v>0</v>
      </c>
      <c r="R40" s="144">
        <f t="shared" si="17"/>
        <v>0</v>
      </c>
      <c r="S40" s="144">
        <f t="shared" si="17"/>
        <v>0</v>
      </c>
      <c r="T40" s="144">
        <f t="shared" si="17"/>
        <v>0</v>
      </c>
      <c r="U40" s="144">
        <f t="shared" si="17"/>
        <v>0</v>
      </c>
      <c r="V40" s="144">
        <f t="shared" si="17"/>
        <v>0</v>
      </c>
      <c r="W40" s="144">
        <f t="shared" si="17"/>
        <v>0</v>
      </c>
      <c r="X40" s="144">
        <f t="shared" si="17"/>
        <v>0</v>
      </c>
      <c r="Y40" s="144">
        <f t="shared" si="17"/>
        <v>0</v>
      </c>
      <c r="Z40" s="144">
        <f t="shared" si="17"/>
        <v>0</v>
      </c>
      <c r="AA40" s="144">
        <f t="shared" si="17"/>
        <v>0</v>
      </c>
      <c r="AB40" s="144">
        <f t="shared" si="17"/>
        <v>0</v>
      </c>
      <c r="AC40" s="144"/>
    </row>
    <row r="41" spans="1:29" s="112" customFormat="1" ht="17">
      <c r="A41" s="192"/>
      <c r="B41" s="54"/>
      <c r="C41" s="54" t="s">
        <v>108</v>
      </c>
      <c r="D41" s="54"/>
      <c r="E41" s="54"/>
      <c r="F41" s="54"/>
      <c r="G41" s="143"/>
      <c r="H41" s="54"/>
      <c r="I41" s="161">
        <f>IF(事業主体="自治体",保険料!$Y$32,保険料!$Y$13)-I17</f>
        <v>23275716.351249099</v>
      </c>
      <c r="J41" s="144">
        <f t="shared" ref="J41:AB41" si="18">I41-J17</f>
        <v>21645207.163315918</v>
      </c>
      <c r="K41" s="144">
        <f t="shared" si="18"/>
        <v>20157435.817016419</v>
      </c>
      <c r="L41" s="144">
        <f t="shared" si="18"/>
        <v>18693775.725434493</v>
      </c>
      <c r="M41" s="144">
        <f t="shared" si="18"/>
        <v>17345781.70357959</v>
      </c>
      <c r="N41" s="144">
        <f t="shared" si="18"/>
        <v>16101911.153216949</v>
      </c>
      <c r="O41" s="144">
        <f t="shared" si="18"/>
        <v>14951774.642272882</v>
      </c>
      <c r="P41" s="144">
        <f t="shared" si="18"/>
        <v>13801638.131328816</v>
      </c>
      <c r="Q41" s="144">
        <f t="shared" si="18"/>
        <v>12651501.620384749</v>
      </c>
      <c r="R41" s="144">
        <f t="shared" si="18"/>
        <v>11501365.109440682</v>
      </c>
      <c r="S41" s="144">
        <f t="shared" si="18"/>
        <v>10351228.598496616</v>
      </c>
      <c r="T41" s="144">
        <f t="shared" si="18"/>
        <v>9201092.0875525493</v>
      </c>
      <c r="U41" s="144">
        <f t="shared" si="18"/>
        <v>8050955.5766084827</v>
      </c>
      <c r="V41" s="144">
        <f t="shared" si="18"/>
        <v>6900819.0656644162</v>
      </c>
      <c r="W41" s="144">
        <f t="shared" si="18"/>
        <v>5750682.5547203496</v>
      </c>
      <c r="X41" s="144">
        <f t="shared" si="18"/>
        <v>4600546.043776283</v>
      </c>
      <c r="Y41" s="144">
        <f t="shared" si="18"/>
        <v>3450409.5328322165</v>
      </c>
      <c r="Z41" s="144">
        <f t="shared" si="18"/>
        <v>2300273.0218881499</v>
      </c>
      <c r="AA41" s="144">
        <f t="shared" si="18"/>
        <v>1150136.5109440833</v>
      </c>
      <c r="AB41" s="144">
        <f t="shared" si="18"/>
        <v>1.6763806343078613E-8</v>
      </c>
      <c r="AC41" s="144"/>
    </row>
    <row r="42" spans="1:29" s="112" customFormat="1" ht="17">
      <c r="A42" s="192"/>
      <c r="B42" s="54" t="s">
        <v>83</v>
      </c>
      <c r="C42" s="54"/>
      <c r="D42" s="54"/>
      <c r="E42" s="54"/>
      <c r="F42" s="54"/>
      <c r="G42" s="143"/>
      <c r="H42" s="54"/>
      <c r="I42" s="161"/>
      <c r="J42" s="144"/>
      <c r="K42" s="144"/>
      <c r="L42" s="144"/>
      <c r="M42" s="144"/>
      <c r="N42" s="144"/>
      <c r="O42" s="144"/>
      <c r="P42" s="144"/>
      <c r="Q42" s="144"/>
      <c r="R42" s="144"/>
      <c r="S42" s="144"/>
      <c r="T42" s="144"/>
      <c r="U42" s="144"/>
      <c r="V42" s="144"/>
      <c r="W42" s="144"/>
      <c r="X42" s="144"/>
      <c r="Y42" s="144"/>
      <c r="Z42" s="144"/>
      <c r="AC42" s="114"/>
    </row>
    <row r="43" spans="1:29" s="124" customFormat="1" ht="17">
      <c r="A43" s="234"/>
      <c r="B43" s="146"/>
      <c r="C43" s="146" t="s">
        <v>60</v>
      </c>
      <c r="D43" s="146"/>
      <c r="E43" s="146"/>
      <c r="F43" s="146"/>
      <c r="G43" s="475" t="s">
        <v>577</v>
      </c>
      <c r="H43" s="146"/>
      <c r="I43" s="161">
        <f>'AS1'!E27</f>
        <v>47760955.390141629</v>
      </c>
      <c r="J43" s="161">
        <f>'AS1'!F27</f>
        <v>42488342.390141629</v>
      </c>
      <c r="K43" s="161">
        <f>'AS1'!G27</f>
        <v>37805446.390141629</v>
      </c>
      <c r="L43" s="161">
        <f>'AS1'!H27</f>
        <v>33645788.390141629</v>
      </c>
      <c r="M43" s="161">
        <f>'AS1'!I27</f>
        <v>29950421.390141625</v>
      </c>
      <c r="N43" s="161">
        <f>'AS1'!J27</f>
        <v>26667069.390141625</v>
      </c>
      <c r="O43" s="161">
        <f>'AS1'!K27</f>
        <v>23749374.390141625</v>
      </c>
      <c r="P43" s="161">
        <f>'AS1'!L27</f>
        <v>21156221.390141625</v>
      </c>
      <c r="Q43" s="161">
        <f>'AS1'!M27</f>
        <v>18851146.390141625</v>
      </c>
      <c r="R43" s="161">
        <f>'AS1'!N27</f>
        <v>16801804.390141625</v>
      </c>
      <c r="S43" s="161">
        <f>'AS1'!O27</f>
        <v>14816025.390141625</v>
      </c>
      <c r="T43" s="161">
        <f>'AS1'!P27</f>
        <v>12838696.390141625</v>
      </c>
      <c r="U43" s="161">
        <f>'AS1'!Q27</f>
        <v>10869259.390141625</v>
      </c>
      <c r="V43" s="161">
        <f>'AS1'!R27</f>
        <v>8907193.390141625</v>
      </c>
      <c r="W43" s="161">
        <f>'AS1'!S27</f>
        <v>6952011.390141625</v>
      </c>
      <c r="X43" s="161">
        <f>'AS1'!T27</f>
        <v>5003259.390141625</v>
      </c>
      <c r="Y43" s="161">
        <f>'AS1'!U27</f>
        <v>3060513.3901416254</v>
      </c>
      <c r="Z43" s="161">
        <f>'AS1'!V27</f>
        <v>1123376.792764951</v>
      </c>
      <c r="AA43" s="161">
        <f>'AS1'!W27</f>
        <v>1049234.792764951</v>
      </c>
      <c r="AB43" s="161">
        <f>'AS1'!X27</f>
        <v>979985.79276495101</v>
      </c>
      <c r="AC43" s="161"/>
    </row>
    <row r="44" spans="1:29" s="142" customFormat="1" ht="17">
      <c r="A44" s="192"/>
      <c r="B44" s="139" t="s">
        <v>84</v>
      </c>
      <c r="C44" s="139"/>
      <c r="D44" s="139"/>
      <c r="E44" s="139"/>
      <c r="F44" s="139"/>
      <c r="G44" s="140"/>
      <c r="H44" s="139"/>
      <c r="I44" s="147">
        <f t="shared" ref="I44:AB44" si="19">SUM(I45:I52)</f>
        <v>320229391.8659445</v>
      </c>
      <c r="J44" s="147">
        <f t="shared" si="19"/>
        <v>313967778.03513205</v>
      </c>
      <c r="K44" s="147">
        <f t="shared" si="19"/>
        <v>306641648.96530986</v>
      </c>
      <c r="L44" s="148">
        <f t="shared" si="19"/>
        <v>299447551.9596054</v>
      </c>
      <c r="M44" s="147">
        <f t="shared" si="19"/>
        <v>291945256.7923665</v>
      </c>
      <c r="N44" s="147">
        <f t="shared" si="19"/>
        <v>284933816.22236228</v>
      </c>
      <c r="O44" s="147">
        <f t="shared" si="19"/>
        <v>277977138.92022276</v>
      </c>
      <c r="P44" s="147">
        <f t="shared" si="19"/>
        <v>271131441.69239473</v>
      </c>
      <c r="Q44" s="147">
        <f t="shared" si="19"/>
        <v>264231684.15450776</v>
      </c>
      <c r="R44" s="147">
        <f t="shared" si="19"/>
        <v>257433129.24685019</v>
      </c>
      <c r="S44" s="147">
        <f>SUM(S45:S52)</f>
        <v>249897257.64616117</v>
      </c>
      <c r="T44" s="147">
        <f t="shared" si="19"/>
        <v>242966695.75702477</v>
      </c>
      <c r="U44" s="147">
        <f t="shared" si="19"/>
        <v>235598932.08607811</v>
      </c>
      <c r="V44" s="147">
        <f t="shared" si="19"/>
        <v>228169773.71538478</v>
      </c>
      <c r="W44" s="147">
        <f t="shared" si="19"/>
        <v>220492626.41914466</v>
      </c>
      <c r="X44" s="147">
        <f t="shared" si="19"/>
        <v>212583472.7929709</v>
      </c>
      <c r="Y44" s="147">
        <f t="shared" si="19"/>
        <v>204638349.38754183</v>
      </c>
      <c r="Z44" s="147">
        <f t="shared" si="19"/>
        <v>196538326.66139397</v>
      </c>
      <c r="AA44" s="147">
        <f t="shared" si="19"/>
        <v>190022247.20652825</v>
      </c>
      <c r="AB44" s="147">
        <f t="shared" si="19"/>
        <v>182662839.49943727</v>
      </c>
      <c r="AC44" s="147"/>
    </row>
    <row r="45" spans="1:29" s="112" customFormat="1" ht="17">
      <c r="A45" s="192"/>
      <c r="B45" s="54" t="s">
        <v>81</v>
      </c>
      <c r="C45" s="54"/>
      <c r="D45" s="54"/>
      <c r="E45" s="54"/>
      <c r="F45" s="54"/>
      <c r="G45" s="143"/>
      <c r="H45" s="54"/>
      <c r="I45" s="149"/>
      <c r="J45" s="149"/>
      <c r="K45" s="149"/>
      <c r="L45" s="149"/>
      <c r="M45" s="149"/>
      <c r="N45" s="149"/>
      <c r="O45" s="149"/>
      <c r="P45" s="149"/>
      <c r="Q45" s="149"/>
      <c r="R45" s="149"/>
      <c r="S45" s="149"/>
      <c r="T45" s="149"/>
      <c r="U45" s="149"/>
      <c r="V45" s="149"/>
      <c r="W45" s="149"/>
      <c r="X45" s="149"/>
      <c r="Y45" s="149"/>
      <c r="Z45" s="149"/>
      <c r="AC45" s="114"/>
    </row>
    <row r="46" spans="1:29" s="112" customFormat="1" ht="17">
      <c r="A46" s="192"/>
      <c r="B46" s="54"/>
      <c r="C46" s="54" t="s">
        <v>99</v>
      </c>
      <c r="D46" s="54"/>
      <c r="E46" s="54"/>
      <c r="F46" s="54"/>
      <c r="G46" s="146" t="s">
        <v>100</v>
      </c>
      <c r="H46" s="54"/>
      <c r="I46" s="149"/>
      <c r="J46" s="149"/>
      <c r="K46" s="149"/>
      <c r="L46" s="149"/>
      <c r="M46" s="149"/>
      <c r="N46" s="149"/>
      <c r="O46" s="149"/>
      <c r="P46" s="149"/>
      <c r="Q46" s="149"/>
      <c r="R46" s="149"/>
      <c r="S46" s="149"/>
      <c r="T46" s="149"/>
      <c r="U46" s="149"/>
      <c r="V46" s="149"/>
      <c r="W46" s="149"/>
      <c r="X46" s="149"/>
      <c r="Y46" s="149"/>
      <c r="Z46" s="149"/>
      <c r="AA46" s="149"/>
      <c r="AB46" s="149"/>
      <c r="AC46" s="149"/>
    </row>
    <row r="47" spans="1:29" s="112" customFormat="1" ht="17">
      <c r="A47" s="192"/>
      <c r="B47" s="54"/>
      <c r="C47" s="54" t="s">
        <v>149</v>
      </c>
      <c r="D47" s="54"/>
      <c r="E47" s="54"/>
      <c r="F47" s="54"/>
      <c r="G47" s="143"/>
      <c r="H47" s="54"/>
      <c r="I47" s="149">
        <f>IF(I76&gt;I77,I76-I77,0)</f>
        <v>0</v>
      </c>
      <c r="J47" s="149">
        <f>IF(J76&gt;J77,J76-J77,0)</f>
        <v>1100424.5406033408</v>
      </c>
      <c r="K47" s="149">
        <f t="shared" ref="K47:AB47" si="20">IF(K76&gt;K77,K76-K77,0)</f>
        <v>1107561.432685025</v>
      </c>
      <c r="L47" s="149">
        <f t="shared" si="20"/>
        <v>1108766.9954209039</v>
      </c>
      <c r="M47" s="149">
        <f t="shared" si="20"/>
        <v>1111550.2989072548</v>
      </c>
      <c r="N47" s="149">
        <f t="shared" si="20"/>
        <v>1119756.472481868</v>
      </c>
      <c r="O47" s="149">
        <f t="shared" si="20"/>
        <v>1121443.1744527966</v>
      </c>
      <c r="P47" s="149">
        <f t="shared" si="20"/>
        <v>1124443.1744527966</v>
      </c>
      <c r="Q47" s="149">
        <f t="shared" si="20"/>
        <v>1121443.1744527966</v>
      </c>
      <c r="R47" s="149">
        <f t="shared" si="20"/>
        <v>1124443.1744527966</v>
      </c>
      <c r="S47" s="149">
        <f t="shared" si="20"/>
        <v>1098943.1744527966</v>
      </c>
      <c r="T47" s="149">
        <f t="shared" si="20"/>
        <v>1124443.1744527966</v>
      </c>
      <c r="U47" s="149">
        <f t="shared" si="20"/>
        <v>1121443.1744527966</v>
      </c>
      <c r="V47" s="149">
        <f>IF(V76&gt;V77,V76-V77,0)</f>
        <v>1124443.1744527966</v>
      </c>
      <c r="W47" s="149">
        <f t="shared" si="20"/>
        <v>1121443.1744527966</v>
      </c>
      <c r="X47" s="149">
        <f t="shared" si="20"/>
        <v>1116943.1744527966</v>
      </c>
      <c r="Y47" s="149">
        <f t="shared" si="20"/>
        <v>1121443.1744527966</v>
      </c>
      <c r="Z47" s="149">
        <f t="shared" si="20"/>
        <v>1124443.1744527966</v>
      </c>
      <c r="AA47" s="149">
        <f t="shared" si="20"/>
        <v>1121443.1744527966</v>
      </c>
      <c r="AB47" s="149">
        <f t="shared" si="20"/>
        <v>1124443.1744527966</v>
      </c>
      <c r="AC47" s="149"/>
    </row>
    <row r="48" spans="1:29" s="112" customFormat="1" ht="17">
      <c r="A48" s="192"/>
      <c r="B48" s="54"/>
      <c r="C48" s="54" t="s">
        <v>6</v>
      </c>
      <c r="D48" s="54"/>
      <c r="E48" s="54"/>
      <c r="F48" s="54"/>
      <c r="G48" s="143"/>
      <c r="H48" s="54"/>
      <c r="I48" s="149">
        <f t="shared" ref="I48:AB48" si="21">I31</f>
        <v>2490523.710105306</v>
      </c>
      <c r="J48" s="149">
        <f t="shared" si="21"/>
        <v>3230387.3453236399</v>
      </c>
      <c r="K48" s="149">
        <f t="shared" si="21"/>
        <v>3672495.5866717757</v>
      </c>
      <c r="L48" s="149">
        <f t="shared" si="21"/>
        <v>4042679.0634623724</v>
      </c>
      <c r="M48" s="149">
        <f t="shared" si="21"/>
        <v>4208588.9415250551</v>
      </c>
      <c r="N48" s="149">
        <f t="shared" si="21"/>
        <v>4614557.8499238743</v>
      </c>
      <c r="O48" s="149">
        <f t="shared" si="21"/>
        <v>4950672.0143101243</v>
      </c>
      <c r="P48" s="149">
        <f t="shared" si="21"/>
        <v>5282077.4469532184</v>
      </c>
      <c r="Q48" s="149">
        <f t="shared" si="21"/>
        <v>5552488.9718282362</v>
      </c>
      <c r="R48" s="149">
        <f t="shared" si="21"/>
        <v>5859892.0200832561</v>
      </c>
      <c r="S48" s="149">
        <f t="shared" si="21"/>
        <v>5864674.0404274538</v>
      </c>
      <c r="T48" s="149">
        <f t="shared" si="21"/>
        <v>6257957.2458756045</v>
      </c>
      <c r="U48" s="149">
        <f t="shared" si="21"/>
        <v>6425847.1373501029</v>
      </c>
      <c r="V48" s="149">
        <f t="shared" si="21"/>
        <v>6644628.0264330944</v>
      </c>
      <c r="W48" s="149">
        <f t="shared" si="21"/>
        <v>6818570.7773615858</v>
      </c>
      <c r="X48" s="149">
        <f t="shared" si="21"/>
        <v>6983935.186376919</v>
      </c>
      <c r="Y48" s="149">
        <f t="shared" si="21"/>
        <v>7224970.6147543862</v>
      </c>
      <c r="Z48" s="149">
        <f t="shared" si="21"/>
        <v>7457917.4512796048</v>
      </c>
      <c r="AA48" s="149">
        <f t="shared" si="21"/>
        <v>8390111.0900943056</v>
      </c>
      <c r="AB48" s="149">
        <f t="shared" si="21"/>
        <v>8631573.8179098349</v>
      </c>
      <c r="AC48" s="149"/>
    </row>
    <row r="49" spans="1:29" s="112" customFormat="1" ht="17">
      <c r="A49" s="192"/>
      <c r="B49" s="54"/>
      <c r="C49" s="54" t="s">
        <v>53</v>
      </c>
      <c r="D49" s="54"/>
      <c r="E49" s="54"/>
      <c r="F49" s="54"/>
      <c r="G49" s="143" t="s">
        <v>80</v>
      </c>
      <c r="H49" s="54"/>
      <c r="I49" s="144">
        <f>'FNC1'!E12</f>
        <v>0</v>
      </c>
      <c r="J49" s="144">
        <f>'FNC1'!F12</f>
        <v>0</v>
      </c>
      <c r="K49" s="144"/>
      <c r="L49" s="144"/>
      <c r="M49" s="144"/>
      <c r="N49" s="144"/>
      <c r="O49" s="144"/>
      <c r="P49" s="144"/>
      <c r="Q49" s="144"/>
      <c r="R49" s="144"/>
      <c r="S49" s="144"/>
      <c r="T49" s="144"/>
      <c r="U49" s="144"/>
      <c r="V49" s="144"/>
      <c r="W49" s="144"/>
      <c r="X49" s="144"/>
      <c r="Y49" s="144"/>
      <c r="Z49" s="144"/>
      <c r="AA49" s="144"/>
      <c r="AB49" s="144"/>
      <c r="AC49" s="144"/>
    </row>
    <row r="50" spans="1:29" s="112" customFormat="1" ht="17">
      <c r="A50" s="192"/>
      <c r="B50" s="54" t="s">
        <v>88</v>
      </c>
      <c r="C50" s="54"/>
      <c r="D50" s="54"/>
      <c r="E50" s="54"/>
      <c r="F50" s="54"/>
      <c r="G50" s="143"/>
      <c r="H50" s="54"/>
      <c r="I50" s="144"/>
      <c r="J50" s="144"/>
      <c r="K50" s="144"/>
      <c r="L50" s="144"/>
      <c r="M50" s="144"/>
      <c r="N50" s="144"/>
      <c r="O50" s="144"/>
      <c r="P50" s="144"/>
      <c r="Q50" s="144"/>
      <c r="R50" s="144"/>
      <c r="S50" s="144"/>
      <c r="T50" s="144"/>
      <c r="U50" s="144"/>
      <c r="V50" s="144"/>
      <c r="W50" s="144"/>
      <c r="X50" s="144"/>
      <c r="Y50" s="144"/>
      <c r="Z50" s="144"/>
      <c r="AA50" s="144"/>
      <c r="AB50" s="144"/>
      <c r="AC50" s="144"/>
    </row>
    <row r="51" spans="1:29" s="112" customFormat="1" ht="17">
      <c r="A51" s="192"/>
      <c r="B51" s="54"/>
      <c r="C51" s="54" t="s">
        <v>63</v>
      </c>
      <c r="D51" s="54"/>
      <c r="E51" s="54"/>
      <c r="F51" s="54"/>
      <c r="G51" s="143" t="s">
        <v>80</v>
      </c>
      <c r="H51" s="54"/>
      <c r="I51" s="144">
        <f>'FNC1'!E17</f>
        <v>313003082.59068125</v>
      </c>
      <c r="J51" s="144">
        <f>'FNC1'!F17</f>
        <v>300055599.56606168</v>
      </c>
      <c r="K51" s="144">
        <f>'FNC1'!G17</f>
        <v>286771481.98280197</v>
      </c>
      <c r="L51" s="144">
        <f>'FNC1'!H17</f>
        <v>273141977.34237748</v>
      </c>
      <c r="M51" s="144">
        <f>'FNC1'!I17</f>
        <v>259158105.58130199</v>
      </c>
      <c r="N51" s="144">
        <f>'FNC1'!J17</f>
        <v>244810653.15443853</v>
      </c>
      <c r="O51" s="144">
        <f>'FNC1'!K17</f>
        <v>230090166.96447662</v>
      </c>
      <c r="P51" s="144">
        <f>'FNC1'!L17</f>
        <v>214986948.13357568</v>
      </c>
      <c r="Q51" s="144">
        <f>'FNC1'!M17</f>
        <v>199491045.61307132</v>
      </c>
      <c r="R51" s="144">
        <f>'FNC1'!N17</f>
        <v>183592249.62703386</v>
      </c>
      <c r="S51" s="144">
        <f>'FNC1'!O17</f>
        <v>167280084.94535944</v>
      </c>
      <c r="T51" s="144">
        <f>'FNC1'!P17</f>
        <v>150543803.98196146</v>
      </c>
      <c r="U51" s="144">
        <f>'FNC1'!Q17</f>
        <v>133372379.71351515</v>
      </c>
      <c r="V51" s="144">
        <f>'FNC1'!R17</f>
        <v>115754498.41408923</v>
      </c>
      <c r="W51" s="144">
        <f>'FNC1'!S17</f>
        <v>97678552.200878233</v>
      </c>
      <c r="X51" s="144">
        <f>'FNC1'!T17</f>
        <v>79132631.386123747</v>
      </c>
      <c r="Y51" s="144">
        <f>'FNC1'!U17</f>
        <v>60104516.630185649</v>
      </c>
      <c r="Z51" s="144">
        <f>'FNC1'!V17</f>
        <v>40581670.890593156</v>
      </c>
      <c r="AA51" s="144">
        <f>'FNC1'!W17</f>
        <v>20551231.161771268</v>
      </c>
      <c r="AB51" s="144">
        <f>'FNC1'!X17</f>
        <v>7.4505805969238281E-9</v>
      </c>
      <c r="AC51" s="144"/>
    </row>
    <row r="52" spans="1:29" s="112" customFormat="1" ht="17">
      <c r="A52" s="192"/>
      <c r="B52" s="54" t="s">
        <v>61</v>
      </c>
      <c r="C52" s="54"/>
      <c r="D52" s="54"/>
      <c r="E52" s="54"/>
      <c r="F52" s="54"/>
      <c r="G52" s="143"/>
      <c r="H52" s="54"/>
      <c r="I52" s="141">
        <f t="shared" ref="I52:AB52" si="22">SUM(I53:I55)</f>
        <v>4735785.5651579592</v>
      </c>
      <c r="J52" s="141">
        <f t="shared" si="22"/>
        <v>9581366.5831434168</v>
      </c>
      <c r="K52" s="141">
        <f t="shared" si="22"/>
        <v>15090109.963151082</v>
      </c>
      <c r="L52" s="141">
        <f t="shared" si="22"/>
        <v>21154128.558344636</v>
      </c>
      <c r="M52" s="141">
        <f t="shared" si="22"/>
        <v>27467011.970632218</v>
      </c>
      <c r="N52" s="141">
        <f t="shared" si="22"/>
        <v>34388848.745518029</v>
      </c>
      <c r="O52" s="141">
        <f t="shared" si="22"/>
        <v>41814856.766983218</v>
      </c>
      <c r="P52" s="141">
        <f t="shared" si="22"/>
        <v>49737972.937413044</v>
      </c>
      <c r="Q52" s="141">
        <f t="shared" si="22"/>
        <v>58066706.3951554</v>
      </c>
      <c r="R52" s="141">
        <f t="shared" si="22"/>
        <v>66856544.425280288</v>
      </c>
      <c r="S52" s="141">
        <f>SUM(S53:S55)</f>
        <v>75653555.485921472</v>
      </c>
      <c r="T52" s="141">
        <f t="shared" si="22"/>
        <v>85040491.354734883</v>
      </c>
      <c r="U52" s="141">
        <f t="shared" si="22"/>
        <v>94679262.060760036</v>
      </c>
      <c r="V52" s="141">
        <f t="shared" si="22"/>
        <v>104646204.10040967</v>
      </c>
      <c r="W52" s="141">
        <f t="shared" si="22"/>
        <v>114874060.26645204</v>
      </c>
      <c r="X52" s="141">
        <f t="shared" si="22"/>
        <v>125349963.04601742</v>
      </c>
      <c r="Y52" s="141">
        <f t="shared" si="22"/>
        <v>136187418.96814901</v>
      </c>
      <c r="Z52" s="141">
        <f t="shared" si="22"/>
        <v>147374295.14506841</v>
      </c>
      <c r="AA52" s="141">
        <f t="shared" si="22"/>
        <v>159959461.78020987</v>
      </c>
      <c r="AB52" s="141">
        <f t="shared" si="22"/>
        <v>172906822.50707462</v>
      </c>
      <c r="AC52" s="141"/>
    </row>
    <row r="53" spans="1:29" s="152" customFormat="1" ht="17">
      <c r="A53" s="192"/>
      <c r="B53" s="150"/>
      <c r="C53" s="150" t="s">
        <v>65</v>
      </c>
      <c r="D53" s="150"/>
      <c r="E53" s="150"/>
      <c r="F53" s="150"/>
      <c r="G53" s="150"/>
      <c r="H53" s="150"/>
      <c r="I53" s="151">
        <f>IF(事業主体="自治体",0,1000000)</f>
        <v>1000000</v>
      </c>
      <c r="J53" s="151">
        <f>I53</f>
        <v>1000000</v>
      </c>
      <c r="K53" s="151">
        <f>J53</f>
        <v>1000000</v>
      </c>
      <c r="L53" s="151">
        <f t="shared" ref="L53:AB53" si="23">K53</f>
        <v>1000000</v>
      </c>
      <c r="M53" s="151">
        <f t="shared" si="23"/>
        <v>1000000</v>
      </c>
      <c r="N53" s="151">
        <f t="shared" si="23"/>
        <v>1000000</v>
      </c>
      <c r="O53" s="151">
        <f t="shared" si="23"/>
        <v>1000000</v>
      </c>
      <c r="P53" s="151">
        <f t="shared" si="23"/>
        <v>1000000</v>
      </c>
      <c r="Q53" s="151">
        <f t="shared" si="23"/>
        <v>1000000</v>
      </c>
      <c r="R53" s="151">
        <f t="shared" si="23"/>
        <v>1000000</v>
      </c>
      <c r="S53" s="151">
        <f>R53</f>
        <v>1000000</v>
      </c>
      <c r="T53" s="151">
        <f t="shared" si="23"/>
        <v>1000000</v>
      </c>
      <c r="U53" s="151">
        <f t="shared" si="23"/>
        <v>1000000</v>
      </c>
      <c r="V53" s="151">
        <f t="shared" si="23"/>
        <v>1000000</v>
      </c>
      <c r="W53" s="151">
        <f t="shared" si="23"/>
        <v>1000000</v>
      </c>
      <c r="X53" s="151">
        <f t="shared" si="23"/>
        <v>1000000</v>
      </c>
      <c r="Y53" s="151">
        <f t="shared" si="23"/>
        <v>1000000</v>
      </c>
      <c r="Z53" s="151">
        <f t="shared" si="23"/>
        <v>1000000</v>
      </c>
      <c r="AA53" s="151">
        <f t="shared" si="23"/>
        <v>1000000</v>
      </c>
      <c r="AB53" s="151">
        <f t="shared" si="23"/>
        <v>1000000</v>
      </c>
      <c r="AC53" s="151"/>
    </row>
    <row r="54" spans="1:29" s="112" customFormat="1" ht="17">
      <c r="A54" s="192"/>
      <c r="B54" s="54"/>
      <c r="C54" s="54" t="s">
        <v>609</v>
      </c>
      <c r="E54" s="54"/>
      <c r="F54" s="54"/>
      <c r="G54" s="143"/>
      <c r="H54" s="54"/>
      <c r="I54" s="144">
        <f>IF(修繕引当金自動計算="自動計算",事業費*0.01,修繕引当金)</f>
        <v>3256224.6175697716</v>
      </c>
      <c r="J54" s="144">
        <f>I54</f>
        <v>3256224.6175697716</v>
      </c>
      <c r="K54" s="144">
        <f t="shared" ref="K54:AB54" si="24">J54</f>
        <v>3256224.6175697716</v>
      </c>
      <c r="L54" s="144">
        <f t="shared" si="24"/>
        <v>3256224.6175697716</v>
      </c>
      <c r="M54" s="144">
        <f t="shared" si="24"/>
        <v>3256224.6175697716</v>
      </c>
      <c r="N54" s="144">
        <f t="shared" si="24"/>
        <v>3256224.6175697716</v>
      </c>
      <c r="O54" s="144">
        <f t="shared" si="24"/>
        <v>3256224.6175697716</v>
      </c>
      <c r="P54" s="144">
        <f t="shared" si="24"/>
        <v>3256224.6175697716</v>
      </c>
      <c r="Q54" s="144">
        <f t="shared" si="24"/>
        <v>3256224.6175697716</v>
      </c>
      <c r="R54" s="144">
        <f t="shared" si="24"/>
        <v>3256224.6175697716</v>
      </c>
      <c r="S54" s="144">
        <f t="shared" si="24"/>
        <v>3256224.6175697716</v>
      </c>
      <c r="T54" s="144">
        <f t="shared" si="24"/>
        <v>3256224.6175697716</v>
      </c>
      <c r="U54" s="144">
        <f t="shared" si="24"/>
        <v>3256224.6175697716</v>
      </c>
      <c r="V54" s="144">
        <f t="shared" si="24"/>
        <v>3256224.6175697716</v>
      </c>
      <c r="W54" s="144">
        <f t="shared" si="24"/>
        <v>3256224.6175697716</v>
      </c>
      <c r="X54" s="144">
        <f t="shared" si="24"/>
        <v>3256224.6175697716</v>
      </c>
      <c r="Y54" s="144">
        <f t="shared" si="24"/>
        <v>3256224.6175697716</v>
      </c>
      <c r="Z54" s="144">
        <f t="shared" si="24"/>
        <v>3256224.6175697716</v>
      </c>
      <c r="AA54" s="144">
        <f t="shared" si="24"/>
        <v>3256224.6175697716</v>
      </c>
      <c r="AB54" s="144">
        <f t="shared" si="24"/>
        <v>3256224.6175697716</v>
      </c>
      <c r="AC54" s="144"/>
    </row>
    <row r="55" spans="1:29" s="112" customFormat="1" ht="17">
      <c r="A55" s="192"/>
      <c r="B55" s="84"/>
      <c r="C55" s="84" t="s">
        <v>142</v>
      </c>
      <c r="D55" s="84"/>
      <c r="E55" s="84"/>
      <c r="F55" s="84"/>
      <c r="G55" s="153" t="s">
        <v>79</v>
      </c>
      <c r="H55" s="84"/>
      <c r="I55" s="154">
        <f>I32-I54</f>
        <v>479560.94758818718</v>
      </c>
      <c r="J55" s="154">
        <f>I55+J32</f>
        <v>5325141.9655736461</v>
      </c>
      <c r="K55" s="154">
        <f t="shared" ref="K55:AB55" si="25">J55+K32</f>
        <v>10833885.34558131</v>
      </c>
      <c r="L55" s="154">
        <f t="shared" si="25"/>
        <v>16897903.940774865</v>
      </c>
      <c r="M55" s="154">
        <f t="shared" si="25"/>
        <v>23210787.353062447</v>
      </c>
      <c r="N55" s="154">
        <f t="shared" si="25"/>
        <v>30132624.127948258</v>
      </c>
      <c r="O55" s="154">
        <f t="shared" si="25"/>
        <v>37558632.149413444</v>
      </c>
      <c r="P55" s="154">
        <f t="shared" si="25"/>
        <v>45481748.31984327</v>
      </c>
      <c r="Q55" s="154">
        <f t="shared" si="25"/>
        <v>53810481.777585626</v>
      </c>
      <c r="R55" s="154">
        <f t="shared" si="25"/>
        <v>62600319.807710513</v>
      </c>
      <c r="S55" s="154">
        <f t="shared" si="25"/>
        <v>71397330.868351698</v>
      </c>
      <c r="T55" s="154">
        <f t="shared" si="25"/>
        <v>80784266.737165108</v>
      </c>
      <c r="U55" s="154">
        <f t="shared" si="25"/>
        <v>90423037.443190262</v>
      </c>
      <c r="V55" s="154">
        <f t="shared" si="25"/>
        <v>100389979.4828399</v>
      </c>
      <c r="W55" s="154">
        <f t="shared" si="25"/>
        <v>110617835.64888227</v>
      </c>
      <c r="X55" s="154">
        <f t="shared" si="25"/>
        <v>121093738.42844765</v>
      </c>
      <c r="Y55" s="154">
        <f t="shared" si="25"/>
        <v>131931194.35057923</v>
      </c>
      <c r="Z55" s="154">
        <f t="shared" si="25"/>
        <v>143118070.52749863</v>
      </c>
      <c r="AA55" s="154">
        <f t="shared" si="25"/>
        <v>155703237.16264009</v>
      </c>
      <c r="AB55" s="154">
        <f t="shared" si="25"/>
        <v>168650597.88950485</v>
      </c>
      <c r="AC55" s="151"/>
    </row>
    <row r="56" spans="1:29" s="112" customFormat="1" ht="20">
      <c r="A56" s="135" t="s">
        <v>578</v>
      </c>
      <c r="B56" s="264"/>
      <c r="C56" s="264"/>
      <c r="D56" s="264"/>
      <c r="E56" s="264"/>
      <c r="F56" s="264"/>
      <c r="G56" s="136"/>
      <c r="H56" s="264"/>
      <c r="I56" s="155"/>
      <c r="J56" s="155"/>
      <c r="K56" s="155"/>
      <c r="L56" s="155"/>
      <c r="M56" s="155"/>
      <c r="N56" s="155"/>
      <c r="O56" s="156"/>
      <c r="P56" s="156"/>
      <c r="Q56" s="156"/>
      <c r="R56" s="156"/>
      <c r="S56" s="156"/>
      <c r="T56" s="156"/>
      <c r="U56" s="156"/>
      <c r="V56" s="156"/>
      <c r="W56" s="156"/>
      <c r="X56" s="156"/>
      <c r="Y56" s="156"/>
      <c r="Z56" s="156"/>
      <c r="AA56" s="156"/>
      <c r="AB56" s="156"/>
      <c r="AC56" s="157"/>
    </row>
    <row r="57" spans="1:29" s="124" customFormat="1" ht="17">
      <c r="A57" s="192"/>
      <c r="B57" s="158" t="s">
        <v>153</v>
      </c>
      <c r="C57" s="120"/>
      <c r="D57" s="120"/>
      <c r="E57" s="120"/>
      <c r="F57" s="120"/>
      <c r="G57" s="159"/>
      <c r="H57" s="120"/>
      <c r="I57" s="160"/>
      <c r="J57" s="160"/>
      <c r="K57" s="160"/>
      <c r="L57" s="160"/>
      <c r="M57" s="160"/>
      <c r="N57" s="160"/>
      <c r="O57" s="160"/>
      <c r="P57" s="160"/>
      <c r="Q57" s="160"/>
      <c r="R57" s="160"/>
      <c r="S57" s="160"/>
      <c r="T57" s="160"/>
      <c r="U57" s="160"/>
      <c r="V57" s="160"/>
      <c r="W57" s="160"/>
      <c r="X57" s="160"/>
      <c r="Y57" s="160"/>
      <c r="Z57" s="160"/>
      <c r="AC57" s="120"/>
    </row>
    <row r="58" spans="1:29" s="124" customFormat="1" ht="17">
      <c r="A58" s="192"/>
      <c r="B58" s="146"/>
      <c r="C58" s="146" t="s">
        <v>0</v>
      </c>
      <c r="D58" s="120"/>
      <c r="E58" s="120"/>
      <c r="F58" s="120"/>
      <c r="G58" s="265" t="s">
        <v>579</v>
      </c>
      <c r="H58" s="120"/>
      <c r="I58" s="161">
        <f t="shared" ref="I58:AB58" si="26">I32</f>
        <v>3735785.5651579588</v>
      </c>
      <c r="J58" s="161">
        <f t="shared" si="26"/>
        <v>4845581.0179854594</v>
      </c>
      <c r="K58" s="161">
        <f t="shared" si="26"/>
        <v>5508743.3800076637</v>
      </c>
      <c r="L58" s="161">
        <f t="shared" si="26"/>
        <v>6064018.5951935574</v>
      </c>
      <c r="M58" s="161">
        <f t="shared" si="26"/>
        <v>6312883.4122875817</v>
      </c>
      <c r="N58" s="161">
        <f t="shared" si="26"/>
        <v>6921836.77488581</v>
      </c>
      <c r="O58" s="161">
        <f t="shared" si="26"/>
        <v>7426008.021465187</v>
      </c>
      <c r="P58" s="161">
        <f t="shared" si="26"/>
        <v>7923116.1704298258</v>
      </c>
      <c r="Q58" s="161">
        <f t="shared" si="26"/>
        <v>8328733.457742353</v>
      </c>
      <c r="R58" s="161">
        <f t="shared" si="26"/>
        <v>8789838.0301248841</v>
      </c>
      <c r="S58" s="161">
        <f t="shared" si="26"/>
        <v>8797011.0606411807</v>
      </c>
      <c r="T58" s="161">
        <f t="shared" si="26"/>
        <v>9386935.8688134048</v>
      </c>
      <c r="U58" s="161">
        <f t="shared" si="26"/>
        <v>9638770.7060251534</v>
      </c>
      <c r="V58" s="161">
        <f t="shared" si="26"/>
        <v>9966942.0396496393</v>
      </c>
      <c r="W58" s="161">
        <f t="shared" si="26"/>
        <v>10227856.166042376</v>
      </c>
      <c r="X58" s="161">
        <f t="shared" si="26"/>
        <v>10475902.779565379</v>
      </c>
      <c r="Y58" s="161">
        <f t="shared" si="26"/>
        <v>10837455.922131579</v>
      </c>
      <c r="Z58" s="161">
        <f t="shared" si="26"/>
        <v>11186876.176919406</v>
      </c>
      <c r="AA58" s="161">
        <f t="shared" si="26"/>
        <v>12585166.635141458</v>
      </c>
      <c r="AB58" s="161">
        <f t="shared" si="26"/>
        <v>12947360.72686475</v>
      </c>
      <c r="AC58" s="161"/>
    </row>
    <row r="59" spans="1:29" s="124" customFormat="1" ht="17">
      <c r="A59" s="192"/>
      <c r="B59" s="146"/>
      <c r="C59" s="146" t="s">
        <v>89</v>
      </c>
      <c r="D59" s="120"/>
      <c r="E59" s="120"/>
      <c r="F59" s="120"/>
      <c r="G59" s="162" t="s">
        <v>580</v>
      </c>
      <c r="H59" s="120"/>
      <c r="I59" s="161">
        <f t="shared" ref="I59:AB59" si="27">I19</f>
        <v>8847145</v>
      </c>
      <c r="J59" s="161">
        <f t="shared" si="27"/>
        <v>5272613</v>
      </c>
      <c r="K59" s="161">
        <f t="shared" si="27"/>
        <v>4682896</v>
      </c>
      <c r="L59" s="161">
        <f t="shared" si="27"/>
        <v>4159658</v>
      </c>
      <c r="M59" s="161">
        <f t="shared" si="27"/>
        <v>3695367</v>
      </c>
      <c r="N59" s="161">
        <f t="shared" si="27"/>
        <v>3283352</v>
      </c>
      <c r="O59" s="161">
        <f t="shared" si="27"/>
        <v>2917695</v>
      </c>
      <c r="P59" s="161">
        <f t="shared" si="27"/>
        <v>2593153</v>
      </c>
      <c r="Q59" s="161">
        <f t="shared" si="27"/>
        <v>2305075</v>
      </c>
      <c r="R59" s="161">
        <f t="shared" si="27"/>
        <v>2049342</v>
      </c>
      <c r="S59" s="161">
        <f t="shared" si="27"/>
        <v>1985779</v>
      </c>
      <c r="T59" s="161">
        <f t="shared" si="27"/>
        <v>1977329</v>
      </c>
      <c r="U59" s="161">
        <f t="shared" si="27"/>
        <v>1969437</v>
      </c>
      <c r="V59" s="161">
        <f t="shared" si="27"/>
        <v>1962066</v>
      </c>
      <c r="W59" s="161">
        <f t="shared" si="27"/>
        <v>1955182</v>
      </c>
      <c r="X59" s="161">
        <f t="shared" si="27"/>
        <v>1948752</v>
      </c>
      <c r="Y59" s="161">
        <f t="shared" si="27"/>
        <v>1942746</v>
      </c>
      <c r="Z59" s="161">
        <f t="shared" si="27"/>
        <v>1937136.5973766744</v>
      </c>
      <c r="AA59" s="161">
        <f t="shared" si="27"/>
        <v>74142</v>
      </c>
      <c r="AB59" s="161">
        <f t="shared" si="27"/>
        <v>69249</v>
      </c>
      <c r="AC59" s="161"/>
    </row>
    <row r="60" spans="1:29" s="124" customFormat="1" ht="17">
      <c r="A60" s="192"/>
      <c r="B60" s="146"/>
      <c r="C60" s="146" t="s">
        <v>54</v>
      </c>
      <c r="D60" s="120"/>
      <c r="E60" s="120"/>
      <c r="F60" s="120"/>
      <c r="G60" s="159" t="s">
        <v>581</v>
      </c>
      <c r="H60" s="120"/>
      <c r="I60" s="161">
        <f>I26</f>
        <v>22615096.970304284</v>
      </c>
      <c r="J60" s="161">
        <f>J26</f>
        <v>0</v>
      </c>
      <c r="K60" s="161"/>
      <c r="L60" s="161"/>
      <c r="M60" s="161"/>
      <c r="N60" s="161"/>
      <c r="O60" s="161"/>
      <c r="P60" s="161"/>
      <c r="Q60" s="161"/>
      <c r="R60" s="161"/>
      <c r="S60" s="161"/>
      <c r="T60" s="161"/>
      <c r="U60" s="161"/>
      <c r="V60" s="161"/>
      <c r="W60" s="161"/>
      <c r="X60" s="161"/>
      <c r="Y60" s="161"/>
      <c r="Z60" s="161"/>
      <c r="AA60" s="161"/>
      <c r="AB60" s="161"/>
      <c r="AC60" s="161"/>
    </row>
    <row r="61" spans="1:29" s="124" customFormat="1" ht="17">
      <c r="A61" s="192"/>
      <c r="B61" s="146"/>
      <c r="C61" s="146" t="s">
        <v>78</v>
      </c>
      <c r="D61" s="120"/>
      <c r="E61" s="120"/>
      <c r="F61" s="120"/>
      <c r="G61" s="159" t="s">
        <v>40</v>
      </c>
      <c r="H61" s="120"/>
      <c r="I61" s="163">
        <f>SUM(I46:I48)-SUM(I39:I41)</f>
        <v>-46177703.331023134</v>
      </c>
      <c r="J61" s="163">
        <f t="shared" ref="J61:AB61" si="28">SUM(J46:J48)-SUM(I46:I48)-(SUM(J39:J41)-SUM(I39:I41))</f>
        <v>28863308.053634197</v>
      </c>
      <c r="K61" s="163">
        <f t="shared" si="28"/>
        <v>1937016.479729319</v>
      </c>
      <c r="L61" s="163">
        <f t="shared" si="28"/>
        <v>1835049.1311084013</v>
      </c>
      <c r="M61" s="163">
        <f t="shared" si="28"/>
        <v>1516687.2034039376</v>
      </c>
      <c r="N61" s="163">
        <f t="shared" si="28"/>
        <v>1658045.6323360736</v>
      </c>
      <c r="O61" s="163">
        <f t="shared" si="28"/>
        <v>1487937.377301245</v>
      </c>
      <c r="P61" s="163">
        <f t="shared" si="28"/>
        <v>1484541.9435871607</v>
      </c>
      <c r="Q61" s="163">
        <f t="shared" si="28"/>
        <v>1417548.0358190844</v>
      </c>
      <c r="R61" s="163">
        <f t="shared" si="28"/>
        <v>1460539.5591990864</v>
      </c>
      <c r="S61" s="163">
        <f t="shared" si="28"/>
        <v>1129418.5312882643</v>
      </c>
      <c r="T61" s="163">
        <f t="shared" si="28"/>
        <v>1568919.7163922172</v>
      </c>
      <c r="U61" s="163">
        <f t="shared" si="28"/>
        <v>1315026.402418565</v>
      </c>
      <c r="V61" s="163">
        <f t="shared" si="28"/>
        <v>1371917.4000270581</v>
      </c>
      <c r="W61" s="163">
        <f t="shared" si="28"/>
        <v>1321079.2618725579</v>
      </c>
      <c r="X61" s="163">
        <f t="shared" si="28"/>
        <v>1311000.9199593998</v>
      </c>
      <c r="Y61" s="163">
        <f t="shared" si="28"/>
        <v>1395671.9393215338</v>
      </c>
      <c r="Z61" s="163">
        <f t="shared" si="28"/>
        <v>1386083.3474692851</v>
      </c>
      <c r="AA61" s="163">
        <f t="shared" si="28"/>
        <v>2079330.1497587673</v>
      </c>
      <c r="AB61" s="163">
        <f t="shared" si="28"/>
        <v>1394599.2387595959</v>
      </c>
      <c r="AC61" s="163"/>
    </row>
    <row r="62" spans="1:29" s="124" customFormat="1" ht="17">
      <c r="A62" s="192"/>
      <c r="B62" s="146"/>
      <c r="C62" s="146"/>
      <c r="D62" s="146" t="s">
        <v>74</v>
      </c>
      <c r="E62" s="120"/>
      <c r="F62" s="120"/>
      <c r="G62" s="159"/>
      <c r="H62" s="120"/>
      <c r="I62" s="164">
        <f>SUM(I58:I61)</f>
        <v>-10979675.795560889</v>
      </c>
      <c r="J62" s="164">
        <f t="shared" ref="J62:AB62" si="29">SUM(J58:J61)</f>
        <v>38981502.07161966</v>
      </c>
      <c r="K62" s="164">
        <f t="shared" si="29"/>
        <v>12128655.859736983</v>
      </c>
      <c r="L62" s="164">
        <f t="shared" si="29"/>
        <v>12058725.726301959</v>
      </c>
      <c r="M62" s="164">
        <f t="shared" si="29"/>
        <v>11524937.61569152</v>
      </c>
      <c r="N62" s="164">
        <f t="shared" si="29"/>
        <v>11863234.407221884</v>
      </c>
      <c r="O62" s="164">
        <f t="shared" si="29"/>
        <v>11831640.398766432</v>
      </c>
      <c r="P62" s="164">
        <f t="shared" si="29"/>
        <v>12000811.114016987</v>
      </c>
      <c r="Q62" s="164">
        <f>SUM(Q58:Q61)</f>
        <v>12051356.493561435</v>
      </c>
      <c r="R62" s="164">
        <f t="shared" si="29"/>
        <v>12299719.589323971</v>
      </c>
      <c r="S62" s="164">
        <f t="shared" si="29"/>
        <v>11912208.591929445</v>
      </c>
      <c r="T62" s="164">
        <f t="shared" si="29"/>
        <v>12933184.585205622</v>
      </c>
      <c r="U62" s="164">
        <f t="shared" si="29"/>
        <v>12923234.108443718</v>
      </c>
      <c r="V62" s="164">
        <f t="shared" si="29"/>
        <v>13300925.439676698</v>
      </c>
      <c r="W62" s="164">
        <f t="shared" si="29"/>
        <v>13504117.427914934</v>
      </c>
      <c r="X62" s="164">
        <f t="shared" si="29"/>
        <v>13735655.699524779</v>
      </c>
      <c r="Y62" s="164">
        <f t="shared" si="29"/>
        <v>14175873.861453112</v>
      </c>
      <c r="Z62" s="164">
        <f t="shared" si="29"/>
        <v>14510096.121765366</v>
      </c>
      <c r="AA62" s="164">
        <f t="shared" si="29"/>
        <v>14738638.784900226</v>
      </c>
      <c r="AB62" s="164">
        <f t="shared" si="29"/>
        <v>14411208.965624345</v>
      </c>
      <c r="AC62" s="164"/>
    </row>
    <row r="63" spans="1:29" s="124" customFormat="1" ht="17">
      <c r="A63" s="192"/>
      <c r="B63" s="158" t="s">
        <v>146</v>
      </c>
      <c r="C63" s="146"/>
      <c r="D63" s="120"/>
      <c r="E63" s="120"/>
      <c r="F63" s="120"/>
      <c r="G63" s="159"/>
      <c r="H63" s="120"/>
      <c r="I63" s="160"/>
      <c r="J63" s="160"/>
      <c r="K63" s="160"/>
      <c r="L63" s="160"/>
      <c r="M63" s="160"/>
      <c r="N63" s="160"/>
      <c r="O63" s="160"/>
      <c r="P63" s="160"/>
      <c r="Q63" s="160"/>
      <c r="R63" s="160"/>
      <c r="S63" s="160"/>
      <c r="T63" s="160"/>
      <c r="U63" s="160"/>
      <c r="V63" s="160"/>
      <c r="W63" s="160"/>
      <c r="X63" s="160"/>
      <c r="Y63" s="160"/>
      <c r="Z63" s="160"/>
      <c r="AC63" s="120"/>
    </row>
    <row r="64" spans="1:29" s="124" customFormat="1" ht="17">
      <c r="A64" s="192"/>
      <c r="B64" s="146"/>
      <c r="C64" s="84" t="s">
        <v>150</v>
      </c>
      <c r="D64" s="120"/>
      <c r="E64" s="120"/>
      <c r="F64" s="120"/>
      <c r="G64" s="159" t="s">
        <v>577</v>
      </c>
      <c r="H64" s="120"/>
      <c r="I64" s="161">
        <f>'AS1'!E29</f>
        <v>79223197.360445902</v>
      </c>
      <c r="J64" s="161">
        <f>'AS1'!F29</f>
        <v>0</v>
      </c>
      <c r="K64" s="161"/>
      <c r="L64" s="161"/>
      <c r="M64" s="161"/>
      <c r="N64" s="161"/>
      <c r="O64" s="161"/>
      <c r="P64" s="161"/>
      <c r="Q64" s="161"/>
      <c r="R64" s="161"/>
      <c r="S64" s="161"/>
      <c r="T64" s="161"/>
      <c r="U64" s="161"/>
      <c r="V64" s="161"/>
      <c r="W64" s="161"/>
      <c r="X64" s="161"/>
      <c r="Y64" s="161"/>
      <c r="Z64" s="161"/>
      <c r="AA64" s="161"/>
      <c r="AB64" s="161"/>
      <c r="AC64" s="161"/>
    </row>
    <row r="65" spans="1:34" s="124" customFormat="1" ht="17">
      <c r="A65" s="192"/>
      <c r="B65" s="146"/>
      <c r="C65" s="146"/>
      <c r="D65" s="146" t="s">
        <v>38</v>
      </c>
      <c r="E65" s="120"/>
      <c r="F65" s="120"/>
      <c r="G65" s="159"/>
      <c r="H65" s="120"/>
      <c r="I65" s="164">
        <f>-I64</f>
        <v>-79223197.360445902</v>
      </c>
      <c r="J65" s="164">
        <f t="shared" ref="J65:AB65" si="30">-J64</f>
        <v>0</v>
      </c>
      <c r="K65" s="164">
        <f t="shared" si="30"/>
        <v>0</v>
      </c>
      <c r="L65" s="164">
        <f t="shared" si="30"/>
        <v>0</v>
      </c>
      <c r="M65" s="164">
        <f t="shared" si="30"/>
        <v>0</v>
      </c>
      <c r="N65" s="164">
        <f t="shared" si="30"/>
        <v>0</v>
      </c>
      <c r="O65" s="164">
        <f t="shared" si="30"/>
        <v>0</v>
      </c>
      <c r="P65" s="164">
        <f t="shared" si="30"/>
        <v>0</v>
      </c>
      <c r="Q65" s="164">
        <f t="shared" si="30"/>
        <v>0</v>
      </c>
      <c r="R65" s="164">
        <f t="shared" si="30"/>
        <v>0</v>
      </c>
      <c r="S65" s="164">
        <f t="shared" si="30"/>
        <v>0</v>
      </c>
      <c r="T65" s="164">
        <f t="shared" si="30"/>
        <v>0</v>
      </c>
      <c r="U65" s="164">
        <f t="shared" si="30"/>
        <v>0</v>
      </c>
      <c r="V65" s="164">
        <f t="shared" si="30"/>
        <v>0</v>
      </c>
      <c r="W65" s="164">
        <f t="shared" si="30"/>
        <v>0</v>
      </c>
      <c r="X65" s="164">
        <f t="shared" si="30"/>
        <v>0</v>
      </c>
      <c r="Y65" s="164">
        <f t="shared" si="30"/>
        <v>0</v>
      </c>
      <c r="Z65" s="164">
        <f t="shared" si="30"/>
        <v>0</v>
      </c>
      <c r="AA65" s="164">
        <f t="shared" si="30"/>
        <v>0</v>
      </c>
      <c r="AB65" s="164">
        <f t="shared" si="30"/>
        <v>0</v>
      </c>
      <c r="AC65" s="164"/>
    </row>
    <row r="66" spans="1:34" s="124" customFormat="1" ht="17">
      <c r="A66" s="192"/>
      <c r="B66" s="158" t="s">
        <v>33</v>
      </c>
      <c r="C66" s="146"/>
      <c r="D66" s="120"/>
      <c r="E66" s="120"/>
      <c r="F66" s="120"/>
      <c r="G66" s="159"/>
      <c r="H66" s="120"/>
      <c r="I66" s="161"/>
      <c r="J66" s="161"/>
      <c r="K66" s="161"/>
      <c r="L66" s="160"/>
      <c r="M66" s="160"/>
      <c r="N66" s="160"/>
      <c r="O66" s="160"/>
      <c r="P66" s="160"/>
      <c r="Q66" s="160"/>
      <c r="R66" s="160"/>
      <c r="S66" s="160"/>
      <c r="T66" s="160"/>
      <c r="U66" s="160"/>
      <c r="V66" s="160"/>
      <c r="W66" s="160"/>
      <c r="X66" s="160"/>
      <c r="Y66" s="160"/>
      <c r="Z66" s="160"/>
      <c r="AC66" s="120"/>
    </row>
    <row r="67" spans="1:34" s="124" customFormat="1" ht="17">
      <c r="A67" s="192"/>
      <c r="B67" s="146"/>
      <c r="C67" s="146" t="s">
        <v>94</v>
      </c>
      <c r="D67" s="120"/>
      <c r="E67" s="120"/>
      <c r="F67" s="120"/>
      <c r="G67" s="159" t="s">
        <v>582</v>
      </c>
      <c r="H67" s="120"/>
      <c r="I67" s="161">
        <f>'FNC1'!E12</f>
        <v>0</v>
      </c>
      <c r="J67" s="161">
        <f>'FNC1'!F12-'FNC1'!F13</f>
        <v>0</v>
      </c>
      <c r="K67" s="161"/>
      <c r="L67" s="161"/>
      <c r="M67" s="161"/>
      <c r="N67" s="161"/>
      <c r="O67" s="161"/>
      <c r="P67" s="161"/>
      <c r="Q67" s="161"/>
      <c r="R67" s="161"/>
      <c r="S67" s="161"/>
      <c r="T67" s="161"/>
      <c r="U67" s="161"/>
      <c r="V67" s="161"/>
      <c r="W67" s="161"/>
      <c r="X67" s="161"/>
      <c r="Y67" s="161"/>
      <c r="Z67" s="161"/>
      <c r="AA67" s="161"/>
      <c r="AB67" s="161"/>
      <c r="AC67" s="161"/>
      <c r="AD67" s="161"/>
    </row>
    <row r="68" spans="1:34" s="124" customFormat="1" ht="17" customHeight="1">
      <c r="A68" s="192"/>
      <c r="B68" s="146"/>
      <c r="C68" s="146" t="s">
        <v>35</v>
      </c>
      <c r="D68" s="120"/>
      <c r="E68" s="120"/>
      <c r="F68" s="120"/>
      <c r="G68" s="159" t="s">
        <v>583</v>
      </c>
      <c r="H68" s="120"/>
      <c r="I68" s="161">
        <f>'FNC1'!E14</f>
        <v>325622461.75697714</v>
      </c>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row>
    <row r="69" spans="1:34" s="124" customFormat="1" ht="17" customHeight="1">
      <c r="A69" s="192"/>
      <c r="B69" s="146"/>
      <c r="C69" s="146" t="s">
        <v>49</v>
      </c>
      <c r="D69" s="120"/>
      <c r="E69" s="120"/>
      <c r="F69" s="146"/>
      <c r="G69" s="165" t="s">
        <v>584</v>
      </c>
      <c r="H69" s="120"/>
      <c r="I69" s="161"/>
      <c r="J69" s="161">
        <f>I67+J67</f>
        <v>0</v>
      </c>
      <c r="K69" s="161"/>
      <c r="L69" s="161"/>
      <c r="M69" s="161"/>
      <c r="N69" s="161"/>
      <c r="O69" s="161"/>
      <c r="P69" s="161"/>
      <c r="Q69" s="161"/>
      <c r="R69" s="161"/>
      <c r="S69" s="161"/>
      <c r="T69" s="161"/>
      <c r="U69" s="161"/>
      <c r="V69" s="161"/>
      <c r="W69" s="161"/>
      <c r="X69" s="161"/>
      <c r="Y69" s="161"/>
      <c r="Z69" s="161"/>
      <c r="AA69" s="161"/>
      <c r="AB69" s="161"/>
      <c r="AC69" s="161"/>
    </row>
    <row r="70" spans="1:34" s="112" customFormat="1" ht="17" customHeight="1">
      <c r="A70" s="192"/>
      <c r="C70" s="146" t="s">
        <v>21</v>
      </c>
      <c r="G70" s="165" t="s">
        <v>585</v>
      </c>
      <c r="I70" s="491">
        <f>'FNC1'!E15</f>
        <v>12619379.166295908</v>
      </c>
      <c r="J70" s="491">
        <f>'FNC1'!F15</f>
        <v>12947483.0246196</v>
      </c>
      <c r="K70" s="154">
        <f>'FNC1'!G15</f>
        <v>13284117.583259709</v>
      </c>
      <c r="L70" s="154">
        <f>'FNC1'!H15</f>
        <v>13629504.640424464</v>
      </c>
      <c r="M70" s="154">
        <f>'FNC1'!I15</f>
        <v>13983871.7610755</v>
      </c>
      <c r="N70" s="154">
        <f>'FNC1'!J15</f>
        <v>14347452.426863464</v>
      </c>
      <c r="O70" s="154">
        <f>'FNC1'!K15</f>
        <v>14720486.189961912</v>
      </c>
      <c r="P70" s="154">
        <f>'FNC1'!L15</f>
        <v>15103218.830900922</v>
      </c>
      <c r="Q70" s="154">
        <f>'FNC1'!M15</f>
        <v>15495902.520504346</v>
      </c>
      <c r="R70" s="154">
        <f>'FNC1'!N15</f>
        <v>15898795.986037459</v>
      </c>
      <c r="S70" s="154">
        <f>'FNC1'!O15</f>
        <v>16312164.681674434</v>
      </c>
      <c r="T70" s="154">
        <f>'FNC1'!P15</f>
        <v>16736280.963397967</v>
      </c>
      <c r="U70" s="154">
        <f>'FNC1'!Q15</f>
        <v>17171424.268446315</v>
      </c>
      <c r="V70" s="154">
        <f>'FNC1'!R15</f>
        <v>17617881.299425919</v>
      </c>
      <c r="W70" s="154">
        <f>'FNC1'!S15</f>
        <v>18075946.213210993</v>
      </c>
      <c r="X70" s="154">
        <f>'FNC1'!T15</f>
        <v>18545920.814754479</v>
      </c>
      <c r="Y70" s="154">
        <f>'FNC1'!U15</f>
        <v>19028114.755938098</v>
      </c>
      <c r="Z70" s="154">
        <f>'FNC1'!V15</f>
        <v>19522845.739592489</v>
      </c>
      <c r="AA70" s="154">
        <f>'FNC1'!W15</f>
        <v>20030439.728821889</v>
      </c>
      <c r="AB70" s="154">
        <f>'FNC1'!X15</f>
        <v>20551231.16177126</v>
      </c>
      <c r="AC70" s="144"/>
    </row>
    <row r="71" spans="1:34" s="112" customFormat="1" ht="17" customHeight="1">
      <c r="A71" s="192"/>
      <c r="C71" s="84"/>
      <c r="D71" s="146" t="s">
        <v>85</v>
      </c>
      <c r="G71" s="165"/>
      <c r="I71" s="492">
        <f t="shared" ref="I71:AB71" si="31">SUM(I67:I68)-SUM(I69:I70)</f>
        <v>313003082.59068125</v>
      </c>
      <c r="J71" s="492">
        <f t="shared" si="31"/>
        <v>-12947483.0246196</v>
      </c>
      <c r="K71" s="166">
        <f t="shared" si="31"/>
        <v>-13284117.583259709</v>
      </c>
      <c r="L71" s="166">
        <f t="shared" si="31"/>
        <v>-13629504.640424464</v>
      </c>
      <c r="M71" s="166">
        <f t="shared" si="31"/>
        <v>-13983871.7610755</v>
      </c>
      <c r="N71" s="166">
        <f t="shared" si="31"/>
        <v>-14347452.426863464</v>
      </c>
      <c r="O71" s="166">
        <f t="shared" si="31"/>
        <v>-14720486.189961912</v>
      </c>
      <c r="P71" s="166">
        <f t="shared" si="31"/>
        <v>-15103218.830900922</v>
      </c>
      <c r="Q71" s="166">
        <f t="shared" si="31"/>
        <v>-15495902.520504346</v>
      </c>
      <c r="R71" s="166">
        <f t="shared" si="31"/>
        <v>-15898795.986037459</v>
      </c>
      <c r="S71" s="166">
        <f t="shared" si="31"/>
        <v>-16312164.681674434</v>
      </c>
      <c r="T71" s="166">
        <f t="shared" si="31"/>
        <v>-16736280.963397967</v>
      </c>
      <c r="U71" s="166">
        <f t="shared" si="31"/>
        <v>-17171424.268446315</v>
      </c>
      <c r="V71" s="166">
        <f t="shared" si="31"/>
        <v>-17617881.299425919</v>
      </c>
      <c r="W71" s="166">
        <f t="shared" si="31"/>
        <v>-18075946.213210993</v>
      </c>
      <c r="X71" s="166">
        <f t="shared" si="31"/>
        <v>-18545920.814754479</v>
      </c>
      <c r="Y71" s="166">
        <f t="shared" si="31"/>
        <v>-19028114.755938098</v>
      </c>
      <c r="Z71" s="166">
        <f t="shared" si="31"/>
        <v>-19522845.739592489</v>
      </c>
      <c r="AA71" s="166">
        <f t="shared" si="31"/>
        <v>-20030439.728821889</v>
      </c>
      <c r="AB71" s="166">
        <f t="shared" si="31"/>
        <v>-20551231.16177126</v>
      </c>
      <c r="AC71" s="141"/>
    </row>
    <row r="72" spans="1:34" s="112" customFormat="1" ht="17">
      <c r="A72" s="192"/>
      <c r="B72" s="167" t="s">
        <v>47</v>
      </c>
      <c r="C72" s="84"/>
      <c r="G72" s="165"/>
      <c r="I72" s="166">
        <f t="shared" ref="I72:AB72" si="32">I62+I65+I71</f>
        <v>222800209.43467447</v>
      </c>
      <c r="J72" s="166">
        <f t="shared" si="32"/>
        <v>26034019.047000058</v>
      </c>
      <c r="K72" s="166">
        <f t="shared" si="32"/>
        <v>-1155461.7235227264</v>
      </c>
      <c r="L72" s="166">
        <f t="shared" si="32"/>
        <v>-1570778.9141225051</v>
      </c>
      <c r="M72" s="166">
        <f t="shared" si="32"/>
        <v>-2458934.1453839801</v>
      </c>
      <c r="N72" s="166">
        <f t="shared" si="32"/>
        <v>-2484218.0196415801</v>
      </c>
      <c r="O72" s="166">
        <f t="shared" si="32"/>
        <v>-2888845.7911954802</v>
      </c>
      <c r="P72" s="166">
        <f t="shared" si="32"/>
        <v>-3102407.716883935</v>
      </c>
      <c r="Q72" s="166">
        <f>Q62+Q65+Q71</f>
        <v>-3444546.0269429106</v>
      </c>
      <c r="R72" s="166">
        <f t="shared" si="32"/>
        <v>-3599076.3967134878</v>
      </c>
      <c r="S72" s="166">
        <f t="shared" si="32"/>
        <v>-4399956.0897449888</v>
      </c>
      <c r="T72" s="166">
        <f t="shared" si="32"/>
        <v>-3803096.3781923447</v>
      </c>
      <c r="U72" s="166">
        <f t="shared" si="32"/>
        <v>-4248190.1600025967</v>
      </c>
      <c r="V72" s="166">
        <f t="shared" si="32"/>
        <v>-4316955.8597492203</v>
      </c>
      <c r="W72" s="166">
        <f t="shared" si="32"/>
        <v>-4571828.7852960583</v>
      </c>
      <c r="X72" s="166">
        <f t="shared" si="32"/>
        <v>-4810265.1152296998</v>
      </c>
      <c r="Y72" s="166">
        <f t="shared" si="32"/>
        <v>-4852240.8944849856</v>
      </c>
      <c r="Z72" s="166">
        <f t="shared" si="32"/>
        <v>-5012749.617827123</v>
      </c>
      <c r="AA72" s="166">
        <f t="shared" si="32"/>
        <v>-5291800.9439216629</v>
      </c>
      <c r="AB72" s="166">
        <f t="shared" si="32"/>
        <v>-6140022.1961469147</v>
      </c>
      <c r="AC72" s="141"/>
    </row>
    <row r="73" spans="1:34" s="112" customFormat="1" ht="17">
      <c r="A73" s="192"/>
      <c r="C73" s="84" t="s">
        <v>145</v>
      </c>
      <c r="G73" s="165"/>
      <c r="I73" s="154">
        <f>IF(事業主体="自治体",0,1000000)</f>
        <v>1000000</v>
      </c>
      <c r="J73" s="154">
        <f>I74</f>
        <v>223800209.43467447</v>
      </c>
      <c r="K73" s="154">
        <f>J74</f>
        <v>249834228.48167452</v>
      </c>
      <c r="L73" s="154">
        <f>K74</f>
        <v>248678766.7581518</v>
      </c>
      <c r="M73" s="154">
        <f t="shared" ref="M73:AB73" si="33">L74</f>
        <v>247107987.84402931</v>
      </c>
      <c r="N73" s="154">
        <f t="shared" si="33"/>
        <v>244649053.69864532</v>
      </c>
      <c r="O73" s="154">
        <f t="shared" si="33"/>
        <v>242164835.67900375</v>
      </c>
      <c r="P73" s="154">
        <f t="shared" si="33"/>
        <v>239275989.88780826</v>
      </c>
      <c r="Q73" s="154">
        <f t="shared" si="33"/>
        <v>236173582.17092434</v>
      </c>
      <c r="R73" s="154">
        <f t="shared" si="33"/>
        <v>232729036.14398143</v>
      </c>
      <c r="S73" s="154">
        <f t="shared" si="33"/>
        <v>229129959.74726793</v>
      </c>
      <c r="T73" s="154">
        <f t="shared" si="33"/>
        <v>224730003.65752295</v>
      </c>
      <c r="U73" s="154">
        <f t="shared" si="33"/>
        <v>220926907.27933061</v>
      </c>
      <c r="V73" s="154">
        <f t="shared" si="33"/>
        <v>216678717.11932802</v>
      </c>
      <c r="W73" s="154">
        <f t="shared" si="33"/>
        <v>212361761.25957879</v>
      </c>
      <c r="X73" s="154">
        <f>W74</f>
        <v>207789932.47428274</v>
      </c>
      <c r="Y73" s="154">
        <f>X74</f>
        <v>202979667.35905305</v>
      </c>
      <c r="Z73" s="154">
        <f>Y74</f>
        <v>198127426.46456805</v>
      </c>
      <c r="AA73" s="154">
        <f t="shared" si="33"/>
        <v>193114676.84674093</v>
      </c>
      <c r="AB73" s="154">
        <f t="shared" si="33"/>
        <v>187822875.90281928</v>
      </c>
      <c r="AC73" s="144"/>
    </row>
    <row r="74" spans="1:34" s="112" customFormat="1" ht="17">
      <c r="A74" s="192"/>
      <c r="B74" s="266"/>
      <c r="C74" s="267" t="s">
        <v>20</v>
      </c>
      <c r="D74" s="266"/>
      <c r="E74" s="266"/>
      <c r="F74" s="266"/>
      <c r="G74" s="268"/>
      <c r="H74" s="266"/>
      <c r="I74" s="269">
        <f>I73+I72</f>
        <v>223800209.43467447</v>
      </c>
      <c r="J74" s="269">
        <f>J73+J72</f>
        <v>249834228.48167452</v>
      </c>
      <c r="K74" s="269">
        <f>K73+K72</f>
        <v>248678766.7581518</v>
      </c>
      <c r="L74" s="269">
        <f>L73+L72</f>
        <v>247107987.84402931</v>
      </c>
      <c r="M74" s="269">
        <f t="shared" ref="M74:AB74" si="34">M73+M72</f>
        <v>244649053.69864532</v>
      </c>
      <c r="N74" s="269">
        <f t="shared" si="34"/>
        <v>242164835.67900375</v>
      </c>
      <c r="O74" s="269">
        <f t="shared" si="34"/>
        <v>239275989.88780826</v>
      </c>
      <c r="P74" s="269">
        <f t="shared" si="34"/>
        <v>236173582.17092434</v>
      </c>
      <c r="Q74" s="269">
        <f t="shared" si="34"/>
        <v>232729036.14398143</v>
      </c>
      <c r="R74" s="269">
        <f>R73+R72</f>
        <v>229129959.74726793</v>
      </c>
      <c r="S74" s="269">
        <f t="shared" si="34"/>
        <v>224730003.65752295</v>
      </c>
      <c r="T74" s="269">
        <f t="shared" si="34"/>
        <v>220926907.27933061</v>
      </c>
      <c r="U74" s="269">
        <f t="shared" si="34"/>
        <v>216678717.11932802</v>
      </c>
      <c r="V74" s="269">
        <f t="shared" si="34"/>
        <v>212361761.25957879</v>
      </c>
      <c r="W74" s="269">
        <f t="shared" si="34"/>
        <v>207789932.47428274</v>
      </c>
      <c r="X74" s="269">
        <f>X73+X72</f>
        <v>202979667.35905305</v>
      </c>
      <c r="Y74" s="269">
        <f>Y73+Y72</f>
        <v>198127426.46456805</v>
      </c>
      <c r="Z74" s="269">
        <f>Z73+Z72</f>
        <v>193114676.84674093</v>
      </c>
      <c r="AA74" s="269">
        <f t="shared" si="34"/>
        <v>187822875.90281928</v>
      </c>
      <c r="AB74" s="269">
        <f t="shared" si="34"/>
        <v>181682853.70667237</v>
      </c>
      <c r="AC74" s="144"/>
    </row>
    <row r="75" spans="1:34">
      <c r="AC75" s="254"/>
    </row>
    <row r="76" spans="1:34" s="124" customFormat="1" ht="18" customHeight="1">
      <c r="A76" s="192"/>
      <c r="B76" s="146"/>
      <c r="C76" s="146" t="s">
        <v>18</v>
      </c>
      <c r="D76" s="120"/>
      <c r="E76" s="120"/>
      <c r="F76" s="120"/>
      <c r="G76" s="168"/>
      <c r="I76" s="161">
        <f t="shared" ref="I76:AB76" si="35">SUM(I8,I10,I11)*消費税</f>
        <v>1303050</v>
      </c>
      <c r="J76" s="161">
        <f t="shared" si="35"/>
        <v>1303050</v>
      </c>
      <c r="K76" s="161">
        <f t="shared" si="35"/>
        <v>1303050</v>
      </c>
      <c r="L76" s="161">
        <f t="shared" si="35"/>
        <v>1303050</v>
      </c>
      <c r="M76" s="161">
        <f t="shared" si="35"/>
        <v>1303050</v>
      </c>
      <c r="N76" s="161">
        <f t="shared" si="35"/>
        <v>1303050</v>
      </c>
      <c r="O76" s="161">
        <f t="shared" si="35"/>
        <v>1303050</v>
      </c>
      <c r="P76" s="161">
        <f t="shared" si="35"/>
        <v>1303050</v>
      </c>
      <c r="Q76" s="161">
        <f t="shared" si="35"/>
        <v>1303050</v>
      </c>
      <c r="R76" s="161">
        <f t="shared" si="35"/>
        <v>1303050</v>
      </c>
      <c r="S76" s="161">
        <f t="shared" si="35"/>
        <v>1303050</v>
      </c>
      <c r="T76" s="161">
        <f t="shared" si="35"/>
        <v>1303050</v>
      </c>
      <c r="U76" s="161">
        <f t="shared" si="35"/>
        <v>1303050</v>
      </c>
      <c r="V76" s="161">
        <f t="shared" si="35"/>
        <v>1303050</v>
      </c>
      <c r="W76" s="161">
        <f t="shared" si="35"/>
        <v>1303050</v>
      </c>
      <c r="X76" s="161">
        <f t="shared" si="35"/>
        <v>1303050</v>
      </c>
      <c r="Y76" s="161">
        <f t="shared" si="35"/>
        <v>1303050</v>
      </c>
      <c r="Z76" s="161">
        <f t="shared" si="35"/>
        <v>1303050</v>
      </c>
      <c r="AA76" s="161">
        <f t="shared" si="35"/>
        <v>1303050</v>
      </c>
      <c r="AB76" s="161">
        <f t="shared" si="35"/>
        <v>1303050</v>
      </c>
      <c r="AC76" s="161"/>
    </row>
    <row r="77" spans="1:34" s="124" customFormat="1" ht="18" customHeight="1">
      <c r="A77" s="192"/>
      <c r="B77" s="146"/>
      <c r="C77" s="146" t="s">
        <v>19</v>
      </c>
      <c r="D77" s="120"/>
      <c r="E77" s="120"/>
      <c r="F77" s="146"/>
      <c r="G77" s="168" t="s">
        <v>36</v>
      </c>
      <c r="I77" s="161">
        <f>((I14+I15+I17+SUM(I22:I23))+I64)*消費税</f>
        <v>4080463.7195750619</v>
      </c>
      <c r="J77" s="161">
        <f t="shared" ref="J77:AB77" si="36">(J14+J15+J17+SUM(J22:J23))*消費税</f>
        <v>202625.45939665913</v>
      </c>
      <c r="K77" s="161">
        <f t="shared" si="36"/>
        <v>195488.56731497502</v>
      </c>
      <c r="L77" s="161">
        <f t="shared" si="36"/>
        <v>194283.00457909622</v>
      </c>
      <c r="M77" s="161">
        <f t="shared" si="36"/>
        <v>191499.70109274529</v>
      </c>
      <c r="N77" s="161">
        <f t="shared" si="36"/>
        <v>183293.52751813203</v>
      </c>
      <c r="O77" s="161">
        <f t="shared" si="36"/>
        <v>181606.82554720333</v>
      </c>
      <c r="P77" s="161">
        <f t="shared" si="36"/>
        <v>178606.82554720333</v>
      </c>
      <c r="Q77" s="161">
        <f t="shared" si="36"/>
        <v>181606.82554720333</v>
      </c>
      <c r="R77" s="161">
        <f t="shared" si="36"/>
        <v>178606.82554720333</v>
      </c>
      <c r="S77" s="161">
        <f t="shared" si="36"/>
        <v>204106.82554720333</v>
      </c>
      <c r="T77" s="161">
        <f t="shared" si="36"/>
        <v>178606.82554720333</v>
      </c>
      <c r="U77" s="161">
        <f t="shared" si="36"/>
        <v>181606.82554720333</v>
      </c>
      <c r="V77" s="161">
        <f t="shared" si="36"/>
        <v>178606.82554720333</v>
      </c>
      <c r="W77" s="161">
        <f t="shared" si="36"/>
        <v>181606.82554720333</v>
      </c>
      <c r="X77" s="161">
        <f t="shared" si="36"/>
        <v>186106.82554720333</v>
      </c>
      <c r="Y77" s="161">
        <f t="shared" si="36"/>
        <v>181606.82554720333</v>
      </c>
      <c r="Z77" s="161">
        <f t="shared" si="36"/>
        <v>178606.82554720333</v>
      </c>
      <c r="AA77" s="161">
        <f t="shared" si="36"/>
        <v>181606.82554720333</v>
      </c>
      <c r="AB77" s="161">
        <f t="shared" si="36"/>
        <v>178606.82554720333</v>
      </c>
      <c r="AC77" s="161"/>
    </row>
  </sheetData>
  <sheetProtection password="C6F4" sheet="1" objects="1" scenarios="1"/>
  <phoneticPr fontId="6"/>
  <printOptions horizontalCentered="1" verticalCentered="1"/>
  <pageMargins left="0.2" right="0.2" top="0.2" bottom="0.19" header="0.15000000000000002" footer="0.41000000000000009"/>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Y38"/>
  <sheetViews>
    <sheetView showGridLines="0" zoomScaleSheetLayoutView="100" workbookViewId="0">
      <pane xSplit="4" ySplit="5" topLeftCell="E6" activePane="bottomRight" state="frozen"/>
      <selection activeCell="B7" sqref="B7"/>
      <selection pane="topRight" activeCell="B7" sqref="B7"/>
      <selection pane="bottomLeft" activeCell="B7" sqref="B7"/>
      <selection pane="bottomRight" activeCell="C13" sqref="C13"/>
    </sheetView>
  </sheetViews>
  <sheetFormatPr baseColWidth="12" defaultColWidth="12" defaultRowHeight="17" x14ac:dyDescent="0"/>
  <cols>
    <col min="1" max="1" width="10.3984375" style="271" customWidth="1"/>
    <col min="2" max="2" width="22.796875" style="271" customWidth="1"/>
    <col min="3" max="3" width="24" style="271" bestFit="1" customWidth="1"/>
    <col min="4" max="4" width="18.796875" style="271" customWidth="1"/>
    <col min="5" max="5" width="17" style="305" customWidth="1"/>
    <col min="6" max="7" width="17" style="271" customWidth="1"/>
    <col min="8" max="11" width="17.59765625" style="271" customWidth="1"/>
    <col min="12" max="15" width="16.3984375" style="271" customWidth="1"/>
    <col min="16" max="23" width="16" style="271" bestFit="1" customWidth="1"/>
    <col min="24" max="24" width="16.19921875" style="271" customWidth="1"/>
    <col min="25" max="25" width="19.3984375" style="271" customWidth="1"/>
    <col min="26" max="16384" width="12" style="271"/>
  </cols>
  <sheetData>
    <row r="1" spans="1:25" ht="23">
      <c r="A1" s="270" t="s">
        <v>97</v>
      </c>
      <c r="D1" s="209"/>
      <c r="E1" s="272"/>
      <c r="F1" s="273"/>
      <c r="H1" s="274"/>
    </row>
    <row r="2" spans="1:25" ht="35" customHeight="1"/>
    <row r="3" spans="1:25">
      <c r="A3" s="275" t="s">
        <v>52</v>
      </c>
      <c r="B3" s="275"/>
      <c r="C3" s="275"/>
      <c r="D3" s="275"/>
      <c r="E3" s="276">
        <f>' PL1'!I2</f>
        <v>2013</v>
      </c>
      <c r="F3" s="275">
        <f t="shared" ref="F3:S4" si="0">E3+1</f>
        <v>2014</v>
      </c>
      <c r="G3" s="275">
        <f t="shared" si="0"/>
        <v>2015</v>
      </c>
      <c r="H3" s="275">
        <f t="shared" si="0"/>
        <v>2016</v>
      </c>
      <c r="I3" s="275">
        <f t="shared" si="0"/>
        <v>2017</v>
      </c>
      <c r="J3" s="275">
        <f t="shared" si="0"/>
        <v>2018</v>
      </c>
      <c r="K3" s="275">
        <f t="shared" si="0"/>
        <v>2019</v>
      </c>
      <c r="L3" s="275">
        <f t="shared" si="0"/>
        <v>2020</v>
      </c>
      <c r="M3" s="275">
        <f t="shared" si="0"/>
        <v>2021</v>
      </c>
      <c r="N3" s="275">
        <f t="shared" si="0"/>
        <v>2022</v>
      </c>
      <c r="O3" s="275">
        <f t="shared" si="0"/>
        <v>2023</v>
      </c>
      <c r="P3" s="275">
        <f t="shared" si="0"/>
        <v>2024</v>
      </c>
      <c r="Q3" s="275">
        <f t="shared" si="0"/>
        <v>2025</v>
      </c>
      <c r="R3" s="275">
        <f t="shared" si="0"/>
        <v>2026</v>
      </c>
      <c r="S3" s="275">
        <f t="shared" si="0"/>
        <v>2027</v>
      </c>
      <c r="T3" s="275">
        <f t="shared" ref="T3:X4" si="1">S3+1</f>
        <v>2028</v>
      </c>
      <c r="U3" s="275">
        <f t="shared" si="1"/>
        <v>2029</v>
      </c>
      <c r="V3" s="275">
        <f t="shared" si="1"/>
        <v>2030</v>
      </c>
      <c r="W3" s="275">
        <f t="shared" si="1"/>
        <v>2031</v>
      </c>
      <c r="X3" s="275">
        <f t="shared" si="1"/>
        <v>2032</v>
      </c>
    </row>
    <row r="4" spans="1:25" s="277" customFormat="1">
      <c r="A4" s="275" t="s">
        <v>121</v>
      </c>
      <c r="B4" s="275"/>
      <c r="C4" s="275"/>
      <c r="D4" s="275"/>
      <c r="E4" s="276">
        <v>1</v>
      </c>
      <c r="F4" s="275">
        <f t="shared" si="0"/>
        <v>2</v>
      </c>
      <c r="G4" s="275">
        <f t="shared" si="0"/>
        <v>3</v>
      </c>
      <c r="H4" s="275">
        <f t="shared" si="0"/>
        <v>4</v>
      </c>
      <c r="I4" s="275">
        <f t="shared" si="0"/>
        <v>5</v>
      </c>
      <c r="J4" s="275">
        <f t="shared" si="0"/>
        <v>6</v>
      </c>
      <c r="K4" s="275">
        <f t="shared" si="0"/>
        <v>7</v>
      </c>
      <c r="L4" s="275">
        <f t="shared" si="0"/>
        <v>8</v>
      </c>
      <c r="M4" s="275">
        <f t="shared" si="0"/>
        <v>9</v>
      </c>
      <c r="N4" s="275">
        <f t="shared" si="0"/>
        <v>10</v>
      </c>
      <c r="O4" s="275">
        <f t="shared" si="0"/>
        <v>11</v>
      </c>
      <c r="P4" s="275">
        <f t="shared" si="0"/>
        <v>12</v>
      </c>
      <c r="Q4" s="275">
        <f t="shared" si="0"/>
        <v>13</v>
      </c>
      <c r="R4" s="275">
        <f t="shared" si="0"/>
        <v>14</v>
      </c>
      <c r="S4" s="275">
        <f t="shared" si="0"/>
        <v>15</v>
      </c>
      <c r="T4" s="275">
        <f t="shared" si="1"/>
        <v>16</v>
      </c>
      <c r="U4" s="275">
        <f t="shared" si="1"/>
        <v>17</v>
      </c>
      <c r="V4" s="275">
        <f t="shared" si="1"/>
        <v>18</v>
      </c>
      <c r="W4" s="275">
        <f t="shared" si="1"/>
        <v>19</v>
      </c>
      <c r="X4" s="275">
        <f t="shared" si="1"/>
        <v>20</v>
      </c>
    </row>
    <row r="5" spans="1:25" s="277" customFormat="1" ht="18" thickBot="1">
      <c r="A5" s="278" t="s">
        <v>82</v>
      </c>
      <c r="B5" s="278"/>
      <c r="C5" s="278"/>
      <c r="D5" s="278"/>
      <c r="E5" s="279">
        <v>12</v>
      </c>
      <c r="F5" s="278">
        <v>12</v>
      </c>
      <c r="G5" s="278">
        <v>12</v>
      </c>
      <c r="H5" s="278">
        <v>12</v>
      </c>
      <c r="I5" s="278">
        <v>12</v>
      </c>
      <c r="J5" s="278">
        <v>12</v>
      </c>
      <c r="K5" s="278">
        <v>12</v>
      </c>
      <c r="L5" s="278">
        <v>12</v>
      </c>
      <c r="M5" s="278">
        <v>12</v>
      </c>
      <c r="N5" s="278">
        <v>12</v>
      </c>
      <c r="O5" s="278">
        <v>12</v>
      </c>
      <c r="P5" s="278">
        <v>12</v>
      </c>
      <c r="Q5" s="278">
        <v>12</v>
      </c>
      <c r="R5" s="278">
        <v>12</v>
      </c>
      <c r="S5" s="278">
        <v>12</v>
      </c>
      <c r="T5" s="278">
        <v>12</v>
      </c>
      <c r="U5" s="278">
        <v>12</v>
      </c>
      <c r="V5" s="278">
        <v>12</v>
      </c>
      <c r="W5" s="278">
        <v>12</v>
      </c>
      <c r="X5" s="278">
        <v>12</v>
      </c>
    </row>
    <row r="6" spans="1:25" s="277" customFormat="1" ht="37" customHeight="1">
      <c r="A6" s="280" t="s">
        <v>125</v>
      </c>
      <c r="B6" s="281"/>
      <c r="C6" s="281"/>
      <c r="D6" s="282">
        <f>事業費</f>
        <v>325622461.75697714</v>
      </c>
      <c r="E6" s="283"/>
      <c r="F6" s="281"/>
      <c r="G6" s="281"/>
      <c r="H6" s="281"/>
      <c r="I6" s="281"/>
      <c r="J6" s="281"/>
      <c r="K6" s="281"/>
      <c r="L6" s="281"/>
      <c r="M6" s="281"/>
      <c r="N6" s="281"/>
      <c r="O6" s="281"/>
      <c r="P6" s="281"/>
      <c r="Q6" s="281"/>
      <c r="R6" s="281"/>
      <c r="S6" s="281"/>
      <c r="T6" s="281"/>
      <c r="U6" s="281"/>
      <c r="V6" s="281"/>
      <c r="W6" s="281"/>
      <c r="X6" s="281"/>
    </row>
    <row r="7" spans="1:25" s="277" customFormat="1">
      <c r="A7" s="277" t="s">
        <v>120</v>
      </c>
      <c r="B7" s="284"/>
      <c r="C7" s="285">
        <f>融資金利</f>
        <v>2.5999999999999999E-2</v>
      </c>
      <c r="D7" s="286" t="s">
        <v>42</v>
      </c>
      <c r="E7" s="287"/>
      <c r="F7" s="274"/>
      <c r="G7" s="274"/>
      <c r="H7" s="274"/>
      <c r="I7" s="274"/>
      <c r="J7" s="274"/>
      <c r="K7" s="274"/>
      <c r="L7" s="274"/>
      <c r="M7" s="274"/>
      <c r="N7" s="274"/>
      <c r="O7" s="274"/>
      <c r="P7" s="274"/>
      <c r="Q7" s="274"/>
      <c r="R7" s="274"/>
      <c r="S7" s="274"/>
      <c r="T7" s="274"/>
      <c r="U7" s="274"/>
      <c r="V7" s="274"/>
      <c r="W7" s="274"/>
      <c r="X7" s="274"/>
    </row>
    <row r="8" spans="1:25" s="277" customFormat="1">
      <c r="A8" s="277" t="s">
        <v>26</v>
      </c>
      <c r="B8" s="288" t="s">
        <v>39</v>
      </c>
      <c r="C8" s="271"/>
      <c r="D8" s="289"/>
      <c r="E8" s="290"/>
      <c r="F8" s="274"/>
      <c r="G8" s="291"/>
      <c r="H8" s="274"/>
      <c r="I8" s="274"/>
      <c r="J8" s="274"/>
      <c r="K8" s="274"/>
      <c r="L8" s="274"/>
      <c r="M8" s="274"/>
      <c r="N8" s="274"/>
      <c r="O8" s="274"/>
      <c r="P8" s="274"/>
      <c r="Q8" s="274"/>
      <c r="R8" s="274"/>
      <c r="S8" s="274"/>
      <c r="T8" s="274"/>
      <c r="U8" s="274"/>
      <c r="V8" s="274"/>
      <c r="W8" s="274"/>
      <c r="X8" s="274"/>
    </row>
    <row r="9" spans="1:25" s="277" customFormat="1">
      <c r="B9" s="288" t="s">
        <v>243</v>
      </c>
      <c r="C9" s="271"/>
      <c r="D9" s="289"/>
      <c r="E9" s="290"/>
      <c r="F9" s="274"/>
      <c r="G9" s="291"/>
      <c r="H9" s="274"/>
      <c r="I9" s="274"/>
      <c r="J9" s="274"/>
      <c r="K9" s="274"/>
      <c r="L9" s="274"/>
      <c r="M9" s="274"/>
      <c r="N9" s="274"/>
      <c r="O9" s="274"/>
      <c r="P9" s="274"/>
      <c r="Q9" s="274"/>
      <c r="R9" s="274"/>
      <c r="S9" s="274"/>
      <c r="T9" s="274"/>
      <c r="U9" s="274"/>
      <c r="V9" s="274"/>
      <c r="W9" s="274"/>
      <c r="X9" s="274"/>
    </row>
    <row r="10" spans="1:25" s="277" customFormat="1">
      <c r="B10" s="288" t="s">
        <v>41</v>
      </c>
      <c r="C10" s="271"/>
      <c r="D10" s="287"/>
      <c r="E10" s="290"/>
      <c r="F10" s="274"/>
      <c r="G10" s="274"/>
      <c r="H10" s="274"/>
      <c r="I10" s="274"/>
      <c r="J10" s="274"/>
      <c r="K10" s="274"/>
      <c r="L10" s="274"/>
      <c r="M10" s="274"/>
      <c r="N10" s="274"/>
      <c r="O10" s="274"/>
      <c r="P10" s="274"/>
      <c r="Q10" s="274"/>
      <c r="R10" s="274"/>
      <c r="S10" s="274"/>
      <c r="T10" s="274"/>
      <c r="U10" s="274"/>
      <c r="V10" s="274"/>
      <c r="W10" s="274"/>
      <c r="X10" s="274"/>
    </row>
    <row r="11" spans="1:25" s="277" customFormat="1">
      <c r="B11" s="274" t="s">
        <v>90</v>
      </c>
      <c r="C11" s="292" t="s">
        <v>129</v>
      </c>
      <c r="D11" s="293"/>
      <c r="E11" s="287"/>
      <c r="F11" s="274"/>
      <c r="G11" s="274"/>
      <c r="H11" s="274"/>
      <c r="I11" s="274"/>
      <c r="J11" s="274"/>
      <c r="K11" s="274"/>
      <c r="L11" s="274"/>
      <c r="M11" s="274"/>
      <c r="N11" s="274"/>
      <c r="O11" s="274"/>
      <c r="P11" s="274"/>
      <c r="Q11" s="274"/>
      <c r="R11" s="274"/>
      <c r="S11" s="274"/>
      <c r="T11" s="274"/>
      <c r="U11" s="274"/>
      <c r="V11" s="274"/>
      <c r="W11" s="274"/>
      <c r="X11" s="274"/>
    </row>
    <row r="12" spans="1:25" s="277" customFormat="1">
      <c r="B12" s="294" t="s">
        <v>25</v>
      </c>
      <c r="C12" s="295"/>
      <c r="D12" s="296"/>
      <c r="E12" s="296">
        <f>SUM(E8:E10)-E11</f>
        <v>0</v>
      </c>
      <c r="F12" s="296">
        <v>0</v>
      </c>
      <c r="G12" s="274"/>
      <c r="H12" s="274"/>
      <c r="I12" s="274"/>
      <c r="J12" s="274"/>
      <c r="K12" s="274"/>
      <c r="L12" s="274"/>
      <c r="M12" s="274"/>
      <c r="N12" s="274"/>
      <c r="O12" s="274"/>
      <c r="P12" s="274"/>
      <c r="Q12" s="274"/>
      <c r="R12" s="274"/>
      <c r="S12" s="274"/>
      <c r="T12" s="274"/>
      <c r="U12" s="274"/>
      <c r="V12" s="274"/>
      <c r="W12" s="274"/>
      <c r="X12" s="274"/>
    </row>
    <row r="13" spans="1:25" s="277" customFormat="1" ht="18" customHeight="1">
      <c r="A13" s="297" t="s">
        <v>119</v>
      </c>
      <c r="B13" s="298"/>
      <c r="C13" s="299">
        <f>C7</f>
        <v>2.5999999999999999E-2</v>
      </c>
      <c r="D13" s="300"/>
      <c r="E13" s="300"/>
      <c r="F13" s="301"/>
      <c r="G13" s="297"/>
      <c r="H13" s="297"/>
      <c r="I13" s="297"/>
      <c r="J13" s="297"/>
      <c r="K13" s="297"/>
      <c r="L13" s="297"/>
      <c r="M13" s="297"/>
      <c r="N13" s="297"/>
      <c r="O13" s="297"/>
      <c r="P13" s="297"/>
      <c r="Q13" s="297"/>
      <c r="R13" s="297"/>
      <c r="S13" s="297"/>
      <c r="T13" s="297"/>
      <c r="U13" s="297"/>
      <c r="V13" s="297"/>
      <c r="W13" s="297"/>
      <c r="X13" s="297"/>
    </row>
    <row r="14" spans="1:25" s="307" customFormat="1" ht="18" customHeight="1">
      <c r="A14" s="302"/>
      <c r="B14" s="306" t="s">
        <v>27</v>
      </c>
      <c r="C14" s="302"/>
      <c r="D14" s="303" t="s">
        <v>603</v>
      </c>
      <c r="E14" s="303">
        <f>IF(事業主体="自治体",事業費*充当率,事業費)</f>
        <v>325622461.75697714</v>
      </c>
      <c r="F14" s="302"/>
      <c r="G14" s="302"/>
      <c r="H14" s="302"/>
      <c r="I14" s="302"/>
      <c r="J14" s="302"/>
      <c r="K14" s="302"/>
      <c r="L14" s="302"/>
      <c r="M14" s="302"/>
      <c r="N14" s="302"/>
      <c r="O14" s="302"/>
      <c r="P14" s="302"/>
      <c r="Q14" s="302"/>
      <c r="R14" s="302"/>
      <c r="S14" s="302"/>
      <c r="T14" s="302"/>
      <c r="U14" s="302"/>
      <c r="V14" s="302"/>
      <c r="W14" s="302"/>
      <c r="X14" s="302"/>
    </row>
    <row r="15" spans="1:25" s="307" customFormat="1" ht="18" customHeight="1">
      <c r="A15" s="302"/>
      <c r="B15" s="302" t="s">
        <v>43</v>
      </c>
      <c r="C15" s="308" t="s">
        <v>42</v>
      </c>
      <c r="D15" s="302">
        <f>SUM(E$5:X$5)</f>
        <v>240</v>
      </c>
      <c r="E15" s="308">
        <f t="shared" ref="E15:X15" si="2">(IF(事業主体="自治体",IF(E4&lt;=据置期間,0,IF(E4&gt;償還期間,0,(-PPMT($C$13,E4,償還期間,$E$14)))),IF(E4&gt;借入期間,0,(-PPMT($C$13,E4,借入期間,$E$14)))))</f>
        <v>12619379.166295908</v>
      </c>
      <c r="F15" s="308">
        <f t="shared" si="2"/>
        <v>12947483.0246196</v>
      </c>
      <c r="G15" s="308">
        <f t="shared" si="2"/>
        <v>13284117.583259709</v>
      </c>
      <c r="H15" s="308">
        <f t="shared" si="2"/>
        <v>13629504.640424464</v>
      </c>
      <c r="I15" s="308">
        <f t="shared" si="2"/>
        <v>13983871.7610755</v>
      </c>
      <c r="J15" s="308">
        <f t="shared" si="2"/>
        <v>14347452.426863464</v>
      </c>
      <c r="K15" s="308">
        <f t="shared" si="2"/>
        <v>14720486.189961912</v>
      </c>
      <c r="L15" s="308">
        <f t="shared" si="2"/>
        <v>15103218.830900922</v>
      </c>
      <c r="M15" s="308">
        <f t="shared" si="2"/>
        <v>15495902.520504346</v>
      </c>
      <c r="N15" s="308">
        <f t="shared" si="2"/>
        <v>15898795.986037459</v>
      </c>
      <c r="O15" s="308">
        <f t="shared" si="2"/>
        <v>16312164.681674434</v>
      </c>
      <c r="P15" s="308">
        <f t="shared" si="2"/>
        <v>16736280.963397967</v>
      </c>
      <c r="Q15" s="308">
        <f t="shared" si="2"/>
        <v>17171424.268446315</v>
      </c>
      <c r="R15" s="308">
        <f t="shared" si="2"/>
        <v>17617881.299425919</v>
      </c>
      <c r="S15" s="308">
        <f t="shared" si="2"/>
        <v>18075946.213210993</v>
      </c>
      <c r="T15" s="308">
        <f t="shared" si="2"/>
        <v>18545920.814754479</v>
      </c>
      <c r="U15" s="308">
        <f t="shared" si="2"/>
        <v>19028114.755938098</v>
      </c>
      <c r="V15" s="308">
        <f t="shared" si="2"/>
        <v>19522845.739592489</v>
      </c>
      <c r="W15" s="308">
        <f t="shared" si="2"/>
        <v>20030439.728821889</v>
      </c>
      <c r="X15" s="308">
        <f t="shared" si="2"/>
        <v>20551231.16177126</v>
      </c>
      <c r="Y15" s="307" t="s">
        <v>30</v>
      </c>
    </row>
    <row r="16" spans="1:25" s="309" customFormat="1" ht="18" customHeight="1">
      <c r="B16" s="310" t="s">
        <v>28</v>
      </c>
      <c r="C16" s="310"/>
      <c r="E16" s="311">
        <f t="shared" ref="E16:X16" si="3">IF(E15&lt;=0,0,(IF(事業主体="自治体",(IF(E4&gt;償還期間,0,-IPMT($C$13,E4,償還期間,$E$14))),-IPMT($C$13,E4,借入期間,$E$14))))</f>
        <v>8466184.0056814048</v>
      </c>
      <c r="F16" s="311">
        <f t="shared" si="3"/>
        <v>8138080.1473577106</v>
      </c>
      <c r="G16" s="311">
        <f t="shared" si="3"/>
        <v>7801445.5887176031</v>
      </c>
      <c r="H16" s="311">
        <f t="shared" si="3"/>
        <v>7456058.5315528512</v>
      </c>
      <c r="I16" s="311">
        <f t="shared" si="3"/>
        <v>7101691.4109018128</v>
      </c>
      <c r="J16" s="311">
        <f t="shared" si="3"/>
        <v>6738110.7451138515</v>
      </c>
      <c r="K16" s="311">
        <f t="shared" si="3"/>
        <v>6365076.9820154002</v>
      </c>
      <c r="L16" s="311">
        <f t="shared" si="3"/>
        <v>5982344.3410763917</v>
      </c>
      <c r="M16" s="311">
        <f t="shared" si="3"/>
        <v>5589660.6514729671</v>
      </c>
      <c r="N16" s="311">
        <f t="shared" si="3"/>
        <v>5186767.1859398531</v>
      </c>
      <c r="O16" s="311">
        <f t="shared" si="3"/>
        <v>4773398.4903028803</v>
      </c>
      <c r="P16" s="311">
        <f t="shared" si="3"/>
        <v>4349282.2085793447</v>
      </c>
      <c r="Q16" s="311">
        <f t="shared" si="3"/>
        <v>3914138.9035309977</v>
      </c>
      <c r="R16" s="311">
        <f t="shared" si="3"/>
        <v>3467681.8725513932</v>
      </c>
      <c r="S16" s="311">
        <f t="shared" si="3"/>
        <v>3009616.9587663193</v>
      </c>
      <c r="T16" s="311">
        <f t="shared" si="3"/>
        <v>2539642.3572228337</v>
      </c>
      <c r="U16" s="311">
        <f t="shared" si="3"/>
        <v>2057448.4160392173</v>
      </c>
      <c r="V16" s="311">
        <f t="shared" si="3"/>
        <v>1562717.4323848267</v>
      </c>
      <c r="W16" s="311">
        <f t="shared" si="3"/>
        <v>1055123.4431554221</v>
      </c>
      <c r="X16" s="311">
        <f t="shared" si="3"/>
        <v>534332.0102060528</v>
      </c>
      <c r="Y16" s="309">
        <f>SUM(F16:X16)</f>
        <v>87622617.676887766</v>
      </c>
    </row>
    <row r="17" spans="1:25" s="309" customFormat="1" ht="18" customHeight="1">
      <c r="B17" s="309" t="s">
        <v>29</v>
      </c>
      <c r="D17" s="312"/>
      <c r="E17" s="309">
        <f>IF(E14-E15&lt;=0,0,E14-E15)</f>
        <v>313003082.59068125</v>
      </c>
      <c r="F17" s="309">
        <f>IF(E17-F15&lt;=0,0,E17-F15)</f>
        <v>300055599.56606168</v>
      </c>
      <c r="G17" s="309">
        <f t="shared" ref="G17:X17" si="4">IF(F17-G15&lt;=0,0,F17-G15)</f>
        <v>286771481.98280197</v>
      </c>
      <c r="H17" s="309">
        <f t="shared" si="4"/>
        <v>273141977.34237748</v>
      </c>
      <c r="I17" s="309">
        <f t="shared" si="4"/>
        <v>259158105.58130199</v>
      </c>
      <c r="J17" s="309">
        <f t="shared" si="4"/>
        <v>244810653.15443853</v>
      </c>
      <c r="K17" s="309">
        <f t="shared" si="4"/>
        <v>230090166.96447662</v>
      </c>
      <c r="L17" s="309">
        <f t="shared" si="4"/>
        <v>214986948.13357568</v>
      </c>
      <c r="M17" s="309">
        <f t="shared" si="4"/>
        <v>199491045.61307132</v>
      </c>
      <c r="N17" s="309">
        <f>IF(M17-N15&lt;=0,0,M17-N15)</f>
        <v>183592249.62703386</v>
      </c>
      <c r="O17" s="309">
        <f t="shared" si="4"/>
        <v>167280084.94535944</v>
      </c>
      <c r="P17" s="309">
        <f t="shared" si="4"/>
        <v>150543803.98196146</v>
      </c>
      <c r="Q17" s="309">
        <f t="shared" si="4"/>
        <v>133372379.71351515</v>
      </c>
      <c r="R17" s="309">
        <f t="shared" si="4"/>
        <v>115754498.41408923</v>
      </c>
      <c r="S17" s="309">
        <f t="shared" si="4"/>
        <v>97678552.200878233</v>
      </c>
      <c r="T17" s="309">
        <f t="shared" si="4"/>
        <v>79132631.386123747</v>
      </c>
      <c r="U17" s="309">
        <f t="shared" si="4"/>
        <v>60104516.630185649</v>
      </c>
      <c r="V17" s="309">
        <f t="shared" si="4"/>
        <v>40581670.890593156</v>
      </c>
      <c r="W17" s="309">
        <f t="shared" si="4"/>
        <v>20551231.161771268</v>
      </c>
      <c r="X17" s="309">
        <f t="shared" si="4"/>
        <v>7.4505805969238281E-9</v>
      </c>
    </row>
    <row r="18" spans="1:25" s="302" customFormat="1">
      <c r="E18" s="303"/>
    </row>
    <row r="19" spans="1:25" s="307" customFormat="1" ht="18" customHeight="1">
      <c r="A19" s="313" t="s">
        <v>513</v>
      </c>
      <c r="B19" s="314"/>
      <c r="C19" s="313"/>
      <c r="D19" s="315"/>
      <c r="E19" s="315"/>
      <c r="F19" s="313"/>
      <c r="G19" s="313"/>
      <c r="H19" s="313"/>
      <c r="I19" s="313"/>
      <c r="J19" s="313"/>
      <c r="K19" s="313"/>
      <c r="L19" s="313"/>
      <c r="M19" s="313"/>
      <c r="N19" s="313"/>
      <c r="O19" s="313"/>
      <c r="P19" s="313"/>
      <c r="Q19" s="313"/>
      <c r="R19" s="313"/>
      <c r="S19" s="313"/>
      <c r="T19" s="313"/>
      <c r="U19" s="313"/>
      <c r="V19" s="313"/>
      <c r="W19" s="313"/>
      <c r="X19" s="313"/>
    </row>
    <row r="20" spans="1:25" s="307" customFormat="1" ht="18" customHeight="1">
      <c r="A20" s="302" t="s">
        <v>516</v>
      </c>
      <c r="B20" s="306" t="s">
        <v>574</v>
      </c>
      <c r="C20" s="302"/>
      <c r="D20" s="302" t="s">
        <v>587</v>
      </c>
      <c r="E20" s="303">
        <f>IF(事業主体="自治体",E14*措置率,0)</f>
        <v>0</v>
      </c>
      <c r="G20" s="302"/>
      <c r="H20" s="302"/>
      <c r="I20" s="302"/>
      <c r="J20" s="302"/>
      <c r="K20" s="302"/>
      <c r="L20" s="302"/>
      <c r="M20" s="302"/>
      <c r="N20" s="302"/>
      <c r="O20" s="302"/>
      <c r="P20" s="302"/>
      <c r="Q20" s="302"/>
      <c r="R20" s="302"/>
      <c r="S20" s="302"/>
      <c r="T20" s="302"/>
      <c r="U20" s="302"/>
      <c r="V20" s="302"/>
      <c r="W20" s="302"/>
      <c r="X20" s="302"/>
    </row>
    <row r="21" spans="1:25" s="307" customFormat="1" ht="18" customHeight="1">
      <c r="A21" s="302"/>
      <c r="B21" s="302" t="s">
        <v>508</v>
      </c>
      <c r="C21" s="308" t="s">
        <v>42</v>
      </c>
      <c r="D21" s="302">
        <f>IF(事業主体="自治体",償還期間*12,0)</f>
        <v>0</v>
      </c>
      <c r="E21" s="308">
        <v>0</v>
      </c>
      <c r="F21" s="308">
        <f>IF(E4&lt;=償還期間,$E$20/(償還期間-据置期間),0)</f>
        <v>0</v>
      </c>
      <c r="G21" s="308">
        <f t="shared" ref="G21:X21" si="5">IF(F4&lt;=償還期間,$E$20/(償還期間-据置期間),0)</f>
        <v>0</v>
      </c>
      <c r="H21" s="308">
        <f t="shared" si="5"/>
        <v>0</v>
      </c>
      <c r="I21" s="308">
        <f t="shared" si="5"/>
        <v>0</v>
      </c>
      <c r="J21" s="308">
        <f t="shared" si="5"/>
        <v>0</v>
      </c>
      <c r="K21" s="308">
        <f t="shared" si="5"/>
        <v>0</v>
      </c>
      <c r="L21" s="308">
        <f t="shared" si="5"/>
        <v>0</v>
      </c>
      <c r="M21" s="308">
        <f t="shared" si="5"/>
        <v>0</v>
      </c>
      <c r="N21" s="308">
        <f t="shared" si="5"/>
        <v>0</v>
      </c>
      <c r="O21" s="308">
        <f t="shared" si="5"/>
        <v>0</v>
      </c>
      <c r="P21" s="308">
        <f t="shared" si="5"/>
        <v>0</v>
      </c>
      <c r="Q21" s="308">
        <f t="shared" si="5"/>
        <v>0</v>
      </c>
      <c r="R21" s="308">
        <f t="shared" si="5"/>
        <v>0</v>
      </c>
      <c r="S21" s="308">
        <f t="shared" si="5"/>
        <v>0</v>
      </c>
      <c r="T21" s="308">
        <f t="shared" si="5"/>
        <v>0</v>
      </c>
      <c r="U21" s="308">
        <f t="shared" si="5"/>
        <v>0</v>
      </c>
      <c r="V21" s="308">
        <f t="shared" si="5"/>
        <v>0</v>
      </c>
      <c r="W21" s="308">
        <f t="shared" si="5"/>
        <v>0</v>
      </c>
      <c r="X21" s="308">
        <f t="shared" si="5"/>
        <v>0</v>
      </c>
    </row>
    <row r="22" spans="1:25" s="307" customFormat="1" ht="18" customHeight="1">
      <c r="B22" s="307" t="s">
        <v>29</v>
      </c>
      <c r="D22" s="306"/>
      <c r="E22" s="307">
        <f>E20-E21</f>
        <v>0</v>
      </c>
      <c r="F22" s="307">
        <f>IF(E22-F21&gt;=0,E22-F21,0)</f>
        <v>0</v>
      </c>
      <c r="G22" s="307">
        <f t="shared" ref="G22:O22" si="6">IF(F22-G21&gt;=0,F22-G21,0)</f>
        <v>0</v>
      </c>
      <c r="H22" s="307">
        <f t="shared" si="6"/>
        <v>0</v>
      </c>
      <c r="I22" s="307">
        <f t="shared" si="6"/>
        <v>0</v>
      </c>
      <c r="J22" s="307">
        <f t="shared" si="6"/>
        <v>0</v>
      </c>
      <c r="K22" s="307">
        <f t="shared" si="6"/>
        <v>0</v>
      </c>
      <c r="L22" s="307">
        <f t="shared" si="6"/>
        <v>0</v>
      </c>
      <c r="M22" s="307">
        <f t="shared" si="6"/>
        <v>0</v>
      </c>
      <c r="N22" s="307">
        <f t="shared" si="6"/>
        <v>0</v>
      </c>
      <c r="O22" s="307">
        <f t="shared" si="6"/>
        <v>0</v>
      </c>
      <c r="P22" s="307">
        <f>IF(O22-P21&gt;=0,O22-P21,0)</f>
        <v>0</v>
      </c>
      <c r="Q22" s="307">
        <f t="shared" ref="Q22" si="7">IF(P22-Q21&gt;=0,P22-Q21,0)</f>
        <v>0</v>
      </c>
      <c r="R22" s="307">
        <f t="shared" ref="R22" si="8">IF(Q22-R21&gt;=0,Q22-R21,0)</f>
        <v>0</v>
      </c>
      <c r="S22" s="307">
        <f t="shared" ref="S22" si="9">IF(R22-S21&gt;=0,R22-S21,0)</f>
        <v>0</v>
      </c>
      <c r="T22" s="307">
        <f t="shared" ref="T22" si="10">IF(S22-T21&gt;=0,S22-T21,0)</f>
        <v>0</v>
      </c>
      <c r="U22" s="307">
        <f t="shared" ref="U22" si="11">IF(T22-U21&gt;=0,T22-U21,0)</f>
        <v>0</v>
      </c>
      <c r="V22" s="307">
        <f t="shared" ref="V22" si="12">IF(U22-V21&gt;=0,U22-V21,0)</f>
        <v>0</v>
      </c>
      <c r="W22" s="307">
        <f t="shared" ref="W22" si="13">IF(V22-W21&gt;=0,V22-W21,0)</f>
        <v>0</v>
      </c>
      <c r="X22" s="307">
        <f t="shared" ref="X22" si="14">IF(W22-X21&gt;=0,W22-X21,0)</f>
        <v>0</v>
      </c>
    </row>
    <row r="23" spans="1:25" s="302" customFormat="1">
      <c r="E23" s="303"/>
    </row>
    <row r="24" spans="1:25" s="307" customFormat="1" ht="18" customHeight="1">
      <c r="A24" s="313" t="s">
        <v>514</v>
      </c>
      <c r="B24" s="314"/>
      <c r="C24" s="313"/>
      <c r="D24" s="315"/>
      <c r="E24" s="315"/>
      <c r="F24" s="313"/>
      <c r="G24" s="313"/>
      <c r="H24" s="313"/>
      <c r="I24" s="313"/>
      <c r="J24" s="313"/>
      <c r="K24" s="313"/>
      <c r="L24" s="313"/>
      <c r="M24" s="313"/>
      <c r="N24" s="313"/>
      <c r="O24" s="313"/>
      <c r="P24" s="313"/>
      <c r="Q24" s="313"/>
      <c r="R24" s="313"/>
      <c r="S24" s="313"/>
      <c r="T24" s="313"/>
      <c r="U24" s="313"/>
      <c r="V24" s="313"/>
      <c r="W24" s="313"/>
      <c r="X24" s="313"/>
    </row>
    <row r="25" spans="1:25" s="307" customFormat="1" ht="18" customHeight="1">
      <c r="A25" s="319"/>
      <c r="B25" s="320" t="s">
        <v>515</v>
      </c>
      <c r="C25" s="319"/>
      <c r="D25" s="321" t="s">
        <v>588</v>
      </c>
      <c r="E25" s="322">
        <f>IF(事業主体&lt;&gt;"自治体",0,事業費*(1-充当率))</f>
        <v>0</v>
      </c>
      <c r="F25" s="319"/>
      <c r="G25" s="319"/>
      <c r="H25" s="319"/>
      <c r="I25" s="319"/>
      <c r="J25" s="319"/>
      <c r="K25" s="319"/>
      <c r="L25" s="319"/>
      <c r="M25" s="319"/>
      <c r="N25" s="319"/>
      <c r="O25" s="319"/>
      <c r="P25" s="319"/>
      <c r="Q25" s="319"/>
      <c r="R25" s="319"/>
      <c r="S25" s="319"/>
      <c r="T25" s="319"/>
      <c r="U25" s="319"/>
      <c r="V25" s="319"/>
      <c r="W25" s="319"/>
      <c r="X25" s="319"/>
    </row>
    <row r="26" spans="1:25" s="302" customFormat="1">
      <c r="E26" s="303"/>
    </row>
    <row r="27" spans="1:25" s="302" customFormat="1" ht="18" thickBot="1">
      <c r="E27" s="303"/>
    </row>
    <row r="28" spans="1:25" s="307" customFormat="1" ht="20">
      <c r="A28" s="316" t="s">
        <v>182</v>
      </c>
      <c r="B28" s="317"/>
      <c r="C28" s="317"/>
      <c r="D28" s="317"/>
      <c r="E28" s="318"/>
      <c r="F28" s="317"/>
      <c r="G28" s="317"/>
      <c r="H28" s="317"/>
      <c r="I28" s="317"/>
      <c r="J28" s="317"/>
      <c r="K28" s="317"/>
      <c r="L28" s="317"/>
      <c r="M28" s="317"/>
      <c r="N28" s="317"/>
      <c r="O28" s="317"/>
      <c r="P28" s="317"/>
      <c r="Q28" s="317"/>
      <c r="R28" s="317"/>
      <c r="S28" s="317"/>
      <c r="T28" s="317"/>
      <c r="U28" s="317"/>
      <c r="V28" s="317"/>
      <c r="W28" s="317"/>
      <c r="X28" s="317"/>
    </row>
    <row r="29" spans="1:25" s="307" customFormat="1" ht="18" customHeight="1">
      <c r="A29" s="313" t="s">
        <v>126</v>
      </c>
      <c r="B29" s="314"/>
      <c r="C29" s="313">
        <v>2.5999999999999999E-2</v>
      </c>
      <c r="D29" s="315"/>
      <c r="E29" s="315"/>
      <c r="F29" s="313"/>
      <c r="G29" s="313"/>
      <c r="H29" s="313"/>
      <c r="I29" s="313"/>
      <c r="J29" s="313"/>
      <c r="K29" s="313"/>
      <c r="L29" s="313"/>
      <c r="M29" s="313"/>
      <c r="N29" s="313"/>
      <c r="O29" s="313"/>
      <c r="P29" s="313"/>
      <c r="Q29" s="313"/>
      <c r="R29" s="313"/>
      <c r="S29" s="313"/>
      <c r="T29" s="313"/>
      <c r="U29" s="313"/>
      <c r="V29" s="313"/>
      <c r="W29" s="313"/>
      <c r="X29" s="313"/>
    </row>
    <row r="30" spans="1:25" s="307" customFormat="1" ht="18" customHeight="1">
      <c r="A30" s="302"/>
      <c r="B30" s="306" t="s">
        <v>27</v>
      </c>
      <c r="C30" s="302"/>
      <c r="D30" s="303"/>
      <c r="E30" s="303"/>
      <c r="F30" s="302"/>
      <c r="G30" s="302"/>
      <c r="H30" s="302"/>
      <c r="I30" s="302"/>
      <c r="J30" s="302"/>
      <c r="K30" s="302"/>
      <c r="L30" s="302"/>
      <c r="M30" s="302"/>
      <c r="N30" s="302"/>
      <c r="O30" s="302"/>
      <c r="P30" s="302"/>
      <c r="Q30" s="302"/>
      <c r="R30" s="302"/>
      <c r="S30" s="302"/>
      <c r="T30" s="302"/>
      <c r="U30" s="302"/>
      <c r="V30" s="302"/>
      <c r="W30" s="302"/>
      <c r="X30" s="302"/>
    </row>
    <row r="31" spans="1:25" s="307" customFormat="1" ht="18" customHeight="1">
      <c r="A31" s="302"/>
      <c r="B31" s="306" t="s">
        <v>127</v>
      </c>
      <c r="C31" s="302" t="s">
        <v>128</v>
      </c>
      <c r="D31" s="303"/>
      <c r="E31" s="303"/>
      <c r="F31" s="302"/>
      <c r="G31" s="302"/>
      <c r="H31" s="302"/>
      <c r="I31" s="302"/>
      <c r="J31" s="302"/>
      <c r="K31" s="302"/>
      <c r="L31" s="302"/>
      <c r="M31" s="302"/>
      <c r="N31" s="302"/>
      <c r="O31" s="302"/>
      <c r="P31" s="302"/>
      <c r="Q31" s="302"/>
      <c r="R31" s="302"/>
      <c r="S31" s="302"/>
      <c r="T31" s="302"/>
      <c r="U31" s="302"/>
      <c r="V31" s="302"/>
      <c r="W31" s="302"/>
      <c r="X31" s="302"/>
    </row>
    <row r="32" spans="1:25" s="307" customFormat="1" ht="18" customHeight="1">
      <c r="A32" s="302"/>
      <c r="B32" s="302" t="s">
        <v>43</v>
      </c>
      <c r="C32" s="308" t="s">
        <v>42</v>
      </c>
      <c r="D32" s="302"/>
      <c r="E32" s="302"/>
      <c r="F32" s="302"/>
      <c r="G32" s="302"/>
      <c r="H32" s="302"/>
      <c r="I32" s="302"/>
      <c r="J32" s="302"/>
      <c r="K32" s="302"/>
      <c r="L32" s="302"/>
      <c r="M32" s="302"/>
      <c r="N32" s="302"/>
      <c r="O32" s="302"/>
      <c r="P32" s="302"/>
      <c r="Q32" s="302"/>
      <c r="R32" s="302"/>
      <c r="S32" s="302"/>
      <c r="T32" s="302"/>
      <c r="U32" s="302"/>
      <c r="V32" s="302"/>
      <c r="W32" s="302"/>
      <c r="X32" s="302"/>
      <c r="Y32" s="307" t="s">
        <v>30</v>
      </c>
    </row>
    <row r="33" spans="2:25" s="307" customFormat="1" ht="18" customHeight="1">
      <c r="B33" s="302" t="s">
        <v>28</v>
      </c>
      <c r="C33" s="302" t="s">
        <v>148</v>
      </c>
      <c r="E33" s="302"/>
      <c r="F33" s="302"/>
      <c r="G33" s="302"/>
      <c r="H33" s="302"/>
      <c r="I33" s="302"/>
      <c r="J33" s="302"/>
      <c r="K33" s="302"/>
      <c r="L33" s="302"/>
      <c r="M33" s="302"/>
      <c r="N33" s="302"/>
      <c r="O33" s="302"/>
      <c r="P33" s="302"/>
      <c r="Q33" s="302"/>
      <c r="R33" s="302"/>
      <c r="S33" s="302"/>
      <c r="T33" s="302"/>
      <c r="U33" s="302"/>
      <c r="V33" s="302"/>
      <c r="W33" s="302"/>
      <c r="X33" s="302"/>
      <c r="Y33" s="307">
        <f>SUM(F33:X33)</f>
        <v>0</v>
      </c>
    </row>
    <row r="34" spans="2:25" s="307" customFormat="1" ht="18" customHeight="1">
      <c r="B34" s="307" t="s">
        <v>29</v>
      </c>
      <c r="D34" s="306"/>
    </row>
    <row r="35" spans="2:25" s="307" customFormat="1" ht="18" customHeight="1">
      <c r="D35" s="306"/>
    </row>
    <row r="38" spans="2:25">
      <c r="E38" s="304"/>
    </row>
  </sheetData>
  <sheetProtection password="C6F4" sheet="1" objects="1" scenarios="1"/>
  <phoneticPr fontId="6"/>
  <pageMargins left="0.39685039370078745" right="0.2" top="0.5868503937007874" bottom="0.39000000000000007" header="0.51" footer="0.51"/>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Y123"/>
  <sheetViews>
    <sheetView showGridLines="0" zoomScale="75" zoomScaleNormal="75" zoomScalePageLayoutView="75" workbookViewId="0">
      <pane xSplit="4" ySplit="6" topLeftCell="E7" activePane="bottomRight" state="frozen"/>
      <selection activeCell="C7" sqref="C7"/>
      <selection pane="topRight" activeCell="C7" sqref="C7"/>
      <selection pane="bottomLeft" activeCell="C7" sqref="C7"/>
      <selection pane="bottomRight" activeCell="C7" sqref="C7"/>
    </sheetView>
  </sheetViews>
  <sheetFormatPr baseColWidth="12" defaultColWidth="12" defaultRowHeight="14" x14ac:dyDescent="0"/>
  <cols>
    <col min="1" max="1" width="24.59765625" style="323" customWidth="1"/>
    <col min="2" max="2" width="20.19921875" style="323" customWidth="1"/>
    <col min="3" max="3" width="8.59765625" style="323" customWidth="1"/>
    <col min="4" max="4" width="22.19921875" style="323" customWidth="1"/>
    <col min="5" max="35" width="21.3984375" style="323" customWidth="1"/>
    <col min="36" max="52" width="41.796875" style="323" customWidth="1"/>
    <col min="53" max="16384" width="12" style="323"/>
  </cols>
  <sheetData>
    <row r="1" spans="1:24" ht="59" customHeight="1">
      <c r="A1" s="208" t="s">
        <v>93</v>
      </c>
      <c r="D1" s="209"/>
      <c r="E1" s="324"/>
      <c r="F1" s="325"/>
    </row>
    <row r="2" spans="1:24" ht="9" customHeight="1">
      <c r="A2" s="326"/>
    </row>
    <row r="3" spans="1:24" ht="17">
      <c r="A3" s="327" t="s">
        <v>52</v>
      </c>
      <c r="B3" s="328"/>
      <c r="C3" s="328"/>
      <c r="D3" s="328"/>
      <c r="E3" s="328">
        <f>' PL1'!I2</f>
        <v>2013</v>
      </c>
      <c r="F3" s="328">
        <f t="shared" ref="F3:S3" si="0">E3+1</f>
        <v>2014</v>
      </c>
      <c r="G3" s="328">
        <f t="shared" si="0"/>
        <v>2015</v>
      </c>
      <c r="H3" s="328">
        <f t="shared" si="0"/>
        <v>2016</v>
      </c>
      <c r="I3" s="328">
        <f t="shared" si="0"/>
        <v>2017</v>
      </c>
      <c r="J3" s="328">
        <f t="shared" si="0"/>
        <v>2018</v>
      </c>
      <c r="K3" s="328">
        <f t="shared" si="0"/>
        <v>2019</v>
      </c>
      <c r="L3" s="328">
        <f t="shared" si="0"/>
        <v>2020</v>
      </c>
      <c r="M3" s="328">
        <f t="shared" si="0"/>
        <v>2021</v>
      </c>
      <c r="N3" s="328">
        <f t="shared" si="0"/>
        <v>2022</v>
      </c>
      <c r="O3" s="328">
        <f t="shared" si="0"/>
        <v>2023</v>
      </c>
      <c r="P3" s="328">
        <f t="shared" si="0"/>
        <v>2024</v>
      </c>
      <c r="Q3" s="328">
        <f t="shared" si="0"/>
        <v>2025</v>
      </c>
      <c r="R3" s="328">
        <f t="shared" si="0"/>
        <v>2026</v>
      </c>
      <c r="S3" s="328">
        <f t="shared" si="0"/>
        <v>2027</v>
      </c>
      <c r="T3" s="328">
        <f t="shared" ref="T3:X4" si="1">S3+1</f>
        <v>2028</v>
      </c>
      <c r="U3" s="328">
        <f t="shared" si="1"/>
        <v>2029</v>
      </c>
      <c r="V3" s="328">
        <f t="shared" si="1"/>
        <v>2030</v>
      </c>
      <c r="W3" s="328">
        <f t="shared" si="1"/>
        <v>2031</v>
      </c>
      <c r="X3" s="328">
        <f t="shared" si="1"/>
        <v>2032</v>
      </c>
    </row>
    <row r="4" spans="1:24" ht="14" customHeight="1">
      <c r="A4" s="327" t="s">
        <v>32</v>
      </c>
      <c r="B4" s="328"/>
      <c r="C4" s="328"/>
      <c r="D4" s="328"/>
      <c r="E4" s="328">
        <f>' PL1'!I3</f>
        <v>1</v>
      </c>
      <c r="F4" s="328">
        <f t="shared" ref="F4:S4" si="2">E4+1</f>
        <v>2</v>
      </c>
      <c r="G4" s="328">
        <f t="shared" si="2"/>
        <v>3</v>
      </c>
      <c r="H4" s="328">
        <f t="shared" si="2"/>
        <v>4</v>
      </c>
      <c r="I4" s="328">
        <f t="shared" si="2"/>
        <v>5</v>
      </c>
      <c r="J4" s="328">
        <f t="shared" si="2"/>
        <v>6</v>
      </c>
      <c r="K4" s="328">
        <f t="shared" si="2"/>
        <v>7</v>
      </c>
      <c r="L4" s="328">
        <f t="shared" si="2"/>
        <v>8</v>
      </c>
      <c r="M4" s="328">
        <f t="shared" si="2"/>
        <v>9</v>
      </c>
      <c r="N4" s="328">
        <f t="shared" si="2"/>
        <v>10</v>
      </c>
      <c r="O4" s="328">
        <f t="shared" si="2"/>
        <v>11</v>
      </c>
      <c r="P4" s="328">
        <f t="shared" si="2"/>
        <v>12</v>
      </c>
      <c r="Q4" s="328">
        <f t="shared" si="2"/>
        <v>13</v>
      </c>
      <c r="R4" s="328">
        <f t="shared" si="2"/>
        <v>14</v>
      </c>
      <c r="S4" s="328">
        <f t="shared" si="2"/>
        <v>15</v>
      </c>
      <c r="T4" s="328">
        <f t="shared" si="1"/>
        <v>16</v>
      </c>
      <c r="U4" s="328">
        <f t="shared" si="1"/>
        <v>17</v>
      </c>
      <c r="V4" s="328">
        <f t="shared" si="1"/>
        <v>18</v>
      </c>
      <c r="W4" s="328">
        <f t="shared" si="1"/>
        <v>19</v>
      </c>
      <c r="X4" s="328">
        <f t="shared" si="1"/>
        <v>20</v>
      </c>
    </row>
    <row r="5" spans="1:24" s="192" customFormat="1" ht="14" customHeight="1" thickBot="1">
      <c r="A5" s="216" t="s">
        <v>42</v>
      </c>
      <c r="B5" s="221" t="s">
        <v>414</v>
      </c>
      <c r="C5" s="217"/>
      <c r="D5" s="218"/>
      <c r="E5" s="217">
        <f>' PL1'!I4</f>
        <v>12</v>
      </c>
      <c r="F5" s="217">
        <v>12</v>
      </c>
      <c r="G5" s="217">
        <v>12</v>
      </c>
      <c r="H5" s="217">
        <v>12</v>
      </c>
      <c r="I5" s="217">
        <v>12</v>
      </c>
      <c r="J5" s="217">
        <v>12</v>
      </c>
      <c r="K5" s="217">
        <v>12</v>
      </c>
      <c r="L5" s="217">
        <v>12</v>
      </c>
      <c r="M5" s="217">
        <v>12</v>
      </c>
      <c r="N5" s="217">
        <v>12</v>
      </c>
      <c r="O5" s="217">
        <v>12</v>
      </c>
      <c r="P5" s="217">
        <v>12</v>
      </c>
      <c r="Q5" s="217">
        <v>12</v>
      </c>
      <c r="R5" s="217">
        <v>12</v>
      </c>
      <c r="S5" s="217">
        <v>12</v>
      </c>
      <c r="T5" s="217">
        <f>' PL1'!X4</f>
        <v>12</v>
      </c>
      <c r="U5" s="217">
        <f>' PL1'!Y4</f>
        <v>12</v>
      </c>
      <c r="V5" s="217">
        <f>' PL1'!Z4</f>
        <v>12</v>
      </c>
      <c r="W5" s="217">
        <f>' PL1'!AA4</f>
        <v>12</v>
      </c>
      <c r="X5" s="217">
        <f>' PL1'!AB4</f>
        <v>12</v>
      </c>
    </row>
    <row r="6" spans="1:24" s="192" customFormat="1" ht="14" hidden="1" customHeight="1" thickBot="1">
      <c r="A6" s="216"/>
      <c r="B6" s="221" t="s">
        <v>111</v>
      </c>
      <c r="C6" s="217"/>
      <c r="D6" s="218"/>
      <c r="E6" s="217">
        <v>6</v>
      </c>
      <c r="F6" s="217">
        <v>12</v>
      </c>
      <c r="G6" s="217">
        <v>12</v>
      </c>
      <c r="H6" s="217">
        <v>12</v>
      </c>
      <c r="I6" s="217">
        <v>12</v>
      </c>
      <c r="J6" s="217">
        <v>12</v>
      </c>
      <c r="K6" s="217">
        <v>12</v>
      </c>
      <c r="L6" s="217">
        <v>12</v>
      </c>
      <c r="M6" s="217">
        <v>12</v>
      </c>
      <c r="N6" s="217">
        <v>12</v>
      </c>
      <c r="O6" s="217">
        <v>12</v>
      </c>
      <c r="P6" s="217">
        <v>12</v>
      </c>
      <c r="Q6" s="217">
        <v>12</v>
      </c>
      <c r="R6" s="217">
        <v>12</v>
      </c>
      <c r="S6" s="217">
        <v>12</v>
      </c>
      <c r="T6" s="217">
        <f>' PL1'!X5</f>
        <v>12</v>
      </c>
      <c r="U6" s="217">
        <f>' PL1'!Y5</f>
        <v>12</v>
      </c>
      <c r="V6" s="217">
        <f>' PL1'!Z5</f>
        <v>12</v>
      </c>
      <c r="W6" s="217">
        <f>' PL1'!AA5</f>
        <v>12</v>
      </c>
      <c r="X6" s="217">
        <f>' PL1'!AB5</f>
        <v>3</v>
      </c>
    </row>
    <row r="7" spans="1:24" s="192" customFormat="1" ht="20">
      <c r="A7" s="329" t="s">
        <v>124</v>
      </c>
      <c r="B7" s="330"/>
      <c r="C7" s="331"/>
      <c r="D7" s="332"/>
      <c r="E7" s="331"/>
      <c r="F7" s="331"/>
      <c r="G7" s="331"/>
      <c r="H7" s="331"/>
      <c r="I7" s="331"/>
      <c r="J7" s="331"/>
      <c r="K7" s="331"/>
      <c r="L7" s="331"/>
      <c r="M7" s="331"/>
      <c r="N7" s="331"/>
      <c r="O7" s="331"/>
      <c r="P7" s="331"/>
      <c r="Q7" s="331"/>
      <c r="R7" s="331"/>
      <c r="S7" s="331"/>
      <c r="T7" s="331"/>
      <c r="U7" s="331"/>
      <c r="V7" s="331"/>
      <c r="W7" s="331"/>
      <c r="X7" s="331"/>
    </row>
    <row r="8" spans="1:24" ht="17">
      <c r="A8" s="333" t="s">
        <v>143</v>
      </c>
      <c r="B8" s="334"/>
      <c r="C8" s="333"/>
      <c r="D8" s="333"/>
      <c r="E8" s="333"/>
      <c r="F8" s="333"/>
      <c r="G8" s="333"/>
      <c r="H8" s="333"/>
      <c r="I8" s="333"/>
      <c r="J8" s="333"/>
      <c r="K8" s="333"/>
      <c r="L8" s="333"/>
      <c r="M8" s="333"/>
      <c r="N8" s="333"/>
      <c r="O8" s="333"/>
      <c r="P8" s="333"/>
      <c r="Q8" s="333"/>
      <c r="R8" s="333"/>
      <c r="S8" s="333"/>
      <c r="T8" s="333"/>
      <c r="U8" s="333"/>
      <c r="V8" s="333"/>
      <c r="W8" s="333"/>
      <c r="X8" s="333"/>
    </row>
    <row r="9" spans="1:24" s="338" customFormat="1" ht="17">
      <c r="A9" s="335" t="str">
        <f>パラメータ!B116</f>
        <v>機械装置</v>
      </c>
      <c r="B9" s="336" t="s">
        <v>58</v>
      </c>
      <c r="C9" s="337">
        <f>設備耐用年数!D17</f>
        <v>22</v>
      </c>
      <c r="D9" s="277" t="s">
        <v>187</v>
      </c>
      <c r="E9" s="497">
        <f>機械装置</f>
        <v>75383656.567680955</v>
      </c>
      <c r="F9" s="498"/>
      <c r="G9" s="498"/>
      <c r="H9" s="498"/>
      <c r="I9" s="498"/>
      <c r="J9" s="498"/>
      <c r="K9" s="498"/>
      <c r="L9" s="498"/>
      <c r="M9" s="498"/>
      <c r="N9" s="498"/>
      <c r="O9" s="498"/>
      <c r="P9" s="498"/>
      <c r="Q9" s="498"/>
      <c r="R9" s="498"/>
      <c r="S9" s="498"/>
      <c r="T9" s="498"/>
      <c r="U9" s="498"/>
      <c r="V9" s="498"/>
      <c r="W9" s="498"/>
      <c r="X9" s="498"/>
    </row>
    <row r="10" spans="1:24" s="338" customFormat="1" ht="17">
      <c r="A10" s="335"/>
      <c r="B10" s="287" t="s">
        <v>427</v>
      </c>
      <c r="C10" s="339">
        <f>VLOOKUP($C$9,設備耐用年数!$D$5:$G$33,2,0)</f>
        <v>0.114</v>
      </c>
      <c r="D10" s="277" t="s">
        <v>429</v>
      </c>
      <c r="E10" s="497">
        <f>+ROUNDDOWN(E9*E11,0)</f>
        <v>1730808</v>
      </c>
      <c r="F10" s="498"/>
      <c r="G10" s="498"/>
      <c r="H10" s="498"/>
      <c r="I10" s="498"/>
      <c r="J10" s="498"/>
      <c r="K10" s="498"/>
      <c r="L10" s="498"/>
      <c r="M10" s="498"/>
      <c r="N10" s="498"/>
      <c r="O10" s="498"/>
      <c r="P10" s="498"/>
      <c r="Q10" s="498"/>
      <c r="R10" s="498"/>
      <c r="S10" s="498"/>
      <c r="T10" s="498"/>
      <c r="U10" s="498"/>
      <c r="V10" s="498"/>
      <c r="W10" s="498"/>
      <c r="X10" s="498"/>
    </row>
    <row r="11" spans="1:24" s="338" customFormat="1" ht="17">
      <c r="A11" s="335"/>
      <c r="B11" s="287" t="s">
        <v>428</v>
      </c>
      <c r="C11" s="339">
        <f>VLOOKUP($C$9,設備耐用年数!$D$5:$G$33,3,0)</f>
        <v>0.125</v>
      </c>
      <c r="D11" s="293" t="s">
        <v>423</v>
      </c>
      <c r="E11" s="499">
        <f>VLOOKUP($C$9,設備耐用年数!$D$5:$G$33,4,0)</f>
        <v>2.2960000000000001E-2</v>
      </c>
      <c r="F11" s="498"/>
      <c r="G11" s="498"/>
      <c r="H11" s="498"/>
      <c r="I11" s="498"/>
      <c r="J11" s="498"/>
      <c r="K11" s="498"/>
      <c r="L11" s="498"/>
      <c r="M11" s="498"/>
      <c r="N11" s="498"/>
      <c r="O11" s="498"/>
      <c r="P11" s="498"/>
      <c r="Q11" s="498"/>
      <c r="R11" s="498"/>
      <c r="S11" s="498"/>
      <c r="T11" s="498"/>
      <c r="U11" s="498"/>
      <c r="V11" s="498"/>
      <c r="W11" s="498"/>
      <c r="X11" s="498"/>
    </row>
    <row r="12" spans="1:24" s="338" customFormat="1" ht="17">
      <c r="A12" s="340"/>
      <c r="B12" s="341"/>
      <c r="D12" s="340" t="s">
        <v>57</v>
      </c>
      <c r="E12" s="500">
        <f>E9</f>
        <v>75383656.567680955</v>
      </c>
      <c r="F12" s="500">
        <f>IF(F4&gt;$C$9,$C$13,E17)</f>
        <v>44174823.597376674</v>
      </c>
      <c r="G12" s="500">
        <f t="shared" ref="G12:X12" si="3">IF(G4&gt;$C$9,$C$13,F17)</f>
        <v>39138894.597376674</v>
      </c>
      <c r="H12" s="500">
        <f t="shared" si="3"/>
        <v>34677061.597376674</v>
      </c>
      <c r="I12" s="500">
        <f t="shared" si="3"/>
        <v>30723876.597376674</v>
      </c>
      <c r="J12" s="500">
        <f t="shared" si="3"/>
        <v>27221355.597376674</v>
      </c>
      <c r="K12" s="500">
        <f t="shared" si="3"/>
        <v>24118121.597376674</v>
      </c>
      <c r="L12" s="500">
        <f t="shared" si="3"/>
        <v>21368656.597376674</v>
      </c>
      <c r="M12" s="500">
        <f t="shared" si="3"/>
        <v>18932630.597376674</v>
      </c>
      <c r="N12" s="500">
        <f t="shared" si="3"/>
        <v>16774311.597376674</v>
      </c>
      <c r="O12" s="500">
        <f t="shared" si="3"/>
        <v>14862040.597376674</v>
      </c>
      <c r="P12" s="500">
        <f t="shared" si="3"/>
        <v>13004285.597376674</v>
      </c>
      <c r="Q12" s="500">
        <f t="shared" si="3"/>
        <v>11146530.597376674</v>
      </c>
      <c r="R12" s="500">
        <f t="shared" si="3"/>
        <v>9288775.5973766744</v>
      </c>
      <c r="S12" s="500">
        <f t="shared" si="3"/>
        <v>7431020.5973766744</v>
      </c>
      <c r="T12" s="500">
        <f t="shared" si="3"/>
        <v>5573265.5973766744</v>
      </c>
      <c r="U12" s="500">
        <f t="shared" si="3"/>
        <v>3715510.5973766744</v>
      </c>
      <c r="V12" s="500">
        <f t="shared" si="3"/>
        <v>1857755.5973766744</v>
      </c>
      <c r="W12" s="500">
        <f t="shared" si="3"/>
        <v>1</v>
      </c>
      <c r="X12" s="500">
        <f t="shared" si="3"/>
        <v>1</v>
      </c>
    </row>
    <row r="13" spans="1:24" s="338" customFormat="1" ht="17">
      <c r="A13" s="342"/>
      <c r="B13" s="343" t="s">
        <v>421</v>
      </c>
      <c r="C13" s="344">
        <v>0</v>
      </c>
      <c r="D13" s="277" t="s">
        <v>605</v>
      </c>
      <c r="E13" s="497">
        <f>E9*補助金合計/E9</f>
        <v>22615096.970304284</v>
      </c>
      <c r="F13" s="500"/>
      <c r="G13" s="500"/>
      <c r="H13" s="500"/>
      <c r="I13" s="500"/>
      <c r="J13" s="500"/>
      <c r="K13" s="500"/>
      <c r="L13" s="500"/>
      <c r="M13" s="500"/>
      <c r="N13" s="500"/>
      <c r="O13" s="500"/>
      <c r="P13" s="500"/>
      <c r="Q13" s="500"/>
      <c r="R13" s="500"/>
      <c r="S13" s="500"/>
      <c r="T13" s="500"/>
      <c r="U13" s="500"/>
      <c r="V13" s="500"/>
      <c r="W13" s="500"/>
      <c r="X13" s="500"/>
    </row>
    <row r="14" spans="1:24" s="338" customFormat="1" ht="17">
      <c r="A14" s="345"/>
      <c r="B14" s="346"/>
      <c r="C14" s="347"/>
      <c r="D14" s="277" t="s">
        <v>430</v>
      </c>
      <c r="E14" s="501">
        <f t="shared" ref="E14:X14" si="4">+ROUNDDOWN(E12*$C$10/12*E5,0)</f>
        <v>8593736</v>
      </c>
      <c r="F14" s="501">
        <f t="shared" si="4"/>
        <v>5035929</v>
      </c>
      <c r="G14" s="501">
        <f t="shared" si="4"/>
        <v>4461833</v>
      </c>
      <c r="H14" s="501">
        <f t="shared" si="4"/>
        <v>3953185</v>
      </c>
      <c r="I14" s="501">
        <f t="shared" si="4"/>
        <v>3502521</v>
      </c>
      <c r="J14" s="501">
        <f t="shared" si="4"/>
        <v>3103234</v>
      </c>
      <c r="K14" s="501">
        <f t="shared" si="4"/>
        <v>2749465</v>
      </c>
      <c r="L14" s="501">
        <f t="shared" si="4"/>
        <v>2436026</v>
      </c>
      <c r="M14" s="501">
        <f t="shared" si="4"/>
        <v>2158319</v>
      </c>
      <c r="N14" s="501">
        <f t="shared" si="4"/>
        <v>1912271</v>
      </c>
      <c r="O14" s="501">
        <f t="shared" si="4"/>
        <v>1694272</v>
      </c>
      <c r="P14" s="501">
        <f t="shared" si="4"/>
        <v>1482488</v>
      </c>
      <c r="Q14" s="501">
        <f t="shared" si="4"/>
        <v>1270704</v>
      </c>
      <c r="R14" s="501">
        <f t="shared" si="4"/>
        <v>1058920</v>
      </c>
      <c r="S14" s="501">
        <f t="shared" si="4"/>
        <v>847136</v>
      </c>
      <c r="T14" s="501">
        <f t="shared" si="4"/>
        <v>635352</v>
      </c>
      <c r="U14" s="501">
        <f t="shared" si="4"/>
        <v>423568</v>
      </c>
      <c r="V14" s="501">
        <f t="shared" si="4"/>
        <v>211784</v>
      </c>
      <c r="W14" s="501">
        <f t="shared" si="4"/>
        <v>0</v>
      </c>
      <c r="X14" s="501">
        <f t="shared" si="4"/>
        <v>0</v>
      </c>
    </row>
    <row r="15" spans="1:24" s="338" customFormat="1" ht="17">
      <c r="A15" s="345"/>
      <c r="B15" s="346"/>
      <c r="C15" s="347"/>
      <c r="D15" s="277" t="s">
        <v>431</v>
      </c>
      <c r="E15" s="501">
        <v>0</v>
      </c>
      <c r="F15" s="501">
        <f>IF(E15&gt;=1,2,IF(F14&lt;$E$10,1,0))</f>
        <v>0</v>
      </c>
      <c r="G15" s="501">
        <f t="shared" ref="G15:X15" si="5">IF(F15&gt;=1,2,IF(G14&lt;$E$10,1,0))</f>
        <v>0</v>
      </c>
      <c r="H15" s="501">
        <f t="shared" si="5"/>
        <v>0</v>
      </c>
      <c r="I15" s="501">
        <f t="shared" si="5"/>
        <v>0</v>
      </c>
      <c r="J15" s="501">
        <f t="shared" si="5"/>
        <v>0</v>
      </c>
      <c r="K15" s="501">
        <f t="shared" si="5"/>
        <v>0</v>
      </c>
      <c r="L15" s="501">
        <f t="shared" si="5"/>
        <v>0</v>
      </c>
      <c r="M15" s="501">
        <f t="shared" si="5"/>
        <v>0</v>
      </c>
      <c r="N15" s="501">
        <f t="shared" si="5"/>
        <v>0</v>
      </c>
      <c r="O15" s="501">
        <f t="shared" si="5"/>
        <v>1</v>
      </c>
      <c r="P15" s="501">
        <f t="shared" si="5"/>
        <v>2</v>
      </c>
      <c r="Q15" s="501">
        <f t="shared" si="5"/>
        <v>2</v>
      </c>
      <c r="R15" s="501">
        <f t="shared" si="5"/>
        <v>2</v>
      </c>
      <c r="S15" s="501">
        <f t="shared" si="5"/>
        <v>2</v>
      </c>
      <c r="T15" s="501">
        <f t="shared" si="5"/>
        <v>2</v>
      </c>
      <c r="U15" s="501">
        <f t="shared" si="5"/>
        <v>2</v>
      </c>
      <c r="V15" s="501">
        <f t="shared" si="5"/>
        <v>2</v>
      </c>
      <c r="W15" s="501">
        <f t="shared" si="5"/>
        <v>2</v>
      </c>
      <c r="X15" s="501">
        <f t="shared" si="5"/>
        <v>2</v>
      </c>
    </row>
    <row r="16" spans="1:24" s="338" customFormat="1" ht="17">
      <c r="A16" s="345"/>
      <c r="B16" s="346"/>
      <c r="C16" s="347"/>
      <c r="D16" s="277" t="s">
        <v>432</v>
      </c>
      <c r="E16" s="501">
        <f>IF(E15=2,D16,IF(E15=1,E12*$C$11/12*E5,E14))</f>
        <v>8593736</v>
      </c>
      <c r="F16" s="502">
        <f>IF(F15=2,IF(E16&gt;E17-1,E17-1,E16),IF(F15=1,ROUNDDOWN(F12*$C$11/12*F5,0),F14))</f>
        <v>5035929</v>
      </c>
      <c r="G16" s="502">
        <f t="shared" ref="G16:K16" si="6">IF(G15=2,IF(F16&gt;F17-1,F17-1,F16),IF(G15=1,ROUNDDOWN(G12*$C$11/12*G5,0),G14))</f>
        <v>4461833</v>
      </c>
      <c r="H16" s="502">
        <f t="shared" si="6"/>
        <v>3953185</v>
      </c>
      <c r="I16" s="502">
        <f t="shared" si="6"/>
        <v>3502521</v>
      </c>
      <c r="J16" s="502">
        <f t="shared" si="6"/>
        <v>3103234</v>
      </c>
      <c r="K16" s="502">
        <f t="shared" si="6"/>
        <v>2749465</v>
      </c>
      <c r="L16" s="502">
        <f t="shared" ref="L16" si="7">IF(L15=2,IF(K16&gt;K17-1,K17-1,K16),IF(L15=1,ROUNDDOWN(L12*$C$11/12*L5,0),L14))</f>
        <v>2436026</v>
      </c>
      <c r="M16" s="502">
        <f t="shared" ref="M16" si="8">IF(M15=2,IF(L16&gt;L17-1,L17-1,L16),IF(M15=1,ROUNDDOWN(M12*$C$11/12*M5,0),M14))</f>
        <v>2158319</v>
      </c>
      <c r="N16" s="502">
        <f t="shared" ref="N16" si="9">IF(N15=2,IF(M16&gt;M17-1,M17-1,M16),IF(N15=1,ROUNDDOWN(N12*$C$11/12*N5,0),N14))</f>
        <v>1912271</v>
      </c>
      <c r="O16" s="502">
        <f t="shared" ref="O16:P16" si="10">IF(O15=2,IF(N16&gt;N17-1,N17-1,N16),IF(O15=1,ROUNDDOWN(O12*$C$11/12*O5,0),O14))</f>
        <v>1857755</v>
      </c>
      <c r="P16" s="502">
        <f t="shared" si="10"/>
        <v>1857755</v>
      </c>
      <c r="Q16" s="502">
        <f t="shared" ref="Q16" si="11">IF(Q15=2,IF(P16&gt;P17-1,P17-1,P16),IF(Q15=1,ROUNDDOWN(Q12*$C$11/12*Q5,0),Q14))</f>
        <v>1857755</v>
      </c>
      <c r="R16" s="502">
        <f t="shared" ref="R16" si="12">IF(R15=2,IF(Q16&gt;Q17-1,Q17-1,Q16),IF(R15=1,ROUNDDOWN(R12*$C$11/12*R5,0),R14))</f>
        <v>1857755</v>
      </c>
      <c r="S16" s="502">
        <f t="shared" ref="S16" si="13">IF(S15=2,IF(R16&gt;R17-1,R17-1,R16),IF(S15=1,ROUNDDOWN(S12*$C$11/12*S5,0),S14))</f>
        <v>1857755</v>
      </c>
      <c r="T16" s="502">
        <f t="shared" ref="T16:U16" si="14">IF(T15=2,IF(S16&gt;S17-1,S17-1,S16),IF(T15=1,ROUNDDOWN(T12*$C$11/12*T5,0),T14))</f>
        <v>1857755</v>
      </c>
      <c r="U16" s="502">
        <f t="shared" si="14"/>
        <v>1857755</v>
      </c>
      <c r="V16" s="502">
        <f t="shared" ref="V16" si="15">IF(V15=2,IF(U16&gt;U17-1,U17-1,U16),IF(V15=1,ROUNDDOWN(V12*$C$11/12*V5,0),V14))</f>
        <v>1857754.5973766744</v>
      </c>
      <c r="W16" s="502">
        <f t="shared" ref="W16" si="16">IF(W15=2,IF(V16&gt;V17-1,V17-1,V16),IF(W15=1,ROUNDDOWN(W12*$C$11/12*W5,0),W14))</f>
        <v>0</v>
      </c>
      <c r="X16" s="502">
        <f t="shared" ref="X16" si="17">IF(X15=2,IF(W16&gt;W17-1,W17-1,W16),IF(X15=1,ROUNDDOWN(X12*$C$11/12*X5,0),X14))</f>
        <v>0</v>
      </c>
    </row>
    <row r="17" spans="1:24" s="338" customFormat="1" ht="17">
      <c r="A17" s="348"/>
      <c r="B17" s="349"/>
      <c r="C17" s="350"/>
      <c r="D17" s="348" t="s">
        <v>48</v>
      </c>
      <c r="E17" s="503">
        <f>E12-E13-E16</f>
        <v>44174823.597376674</v>
      </c>
      <c r="F17" s="503">
        <f t="shared" ref="F17" si="18">IF(E17=1,1,IF(F12-F13-F16&lt;=$C$22,$C$22,F12-F13-F16))</f>
        <v>39138894.597376674</v>
      </c>
      <c r="G17" s="503">
        <f t="shared" ref="G17" si="19">IF(F17=1,1,IF(G12-G13-G16&lt;=$C$22,$C$22,G12-G13-G16))</f>
        <v>34677061.597376674</v>
      </c>
      <c r="H17" s="503">
        <f t="shared" ref="H17" si="20">IF(G17=1,1,IF(H12-H13-H16&lt;=$C$22,$C$22,H12-H13-H16))</f>
        <v>30723876.597376674</v>
      </c>
      <c r="I17" s="503">
        <f t="shared" ref="I17" si="21">IF(H17=1,1,IF(I12-I13-I16&lt;=$C$22,$C$22,I12-I13-I16))</f>
        <v>27221355.597376674</v>
      </c>
      <c r="J17" s="503">
        <f t="shared" ref="J17" si="22">IF(I17=1,1,IF(J12-J13-J16&lt;=$C$22,$C$22,J12-J13-J16))</f>
        <v>24118121.597376674</v>
      </c>
      <c r="K17" s="503">
        <f t="shared" ref="K17" si="23">IF(J17=1,1,IF(K12-K13-K16&lt;=$C$22,$C$22,K12-K13-K16))</f>
        <v>21368656.597376674</v>
      </c>
      <c r="L17" s="503">
        <f t="shared" ref="L17" si="24">IF(K17=1,1,IF(L12-L13-L16&lt;=$C$22,$C$22,L12-L13-L16))</f>
        <v>18932630.597376674</v>
      </c>
      <c r="M17" s="503">
        <f t="shared" ref="M17" si="25">IF(L17=1,1,IF(M12-M13-M16&lt;=$C$22,$C$22,M12-M13-M16))</f>
        <v>16774311.597376674</v>
      </c>
      <c r="N17" s="503">
        <f t="shared" ref="N17" si="26">IF(M17=1,1,IF(N12-N13-N16&lt;=$C$22,$C$22,N12-N13-N16))</f>
        <v>14862040.597376674</v>
      </c>
      <c r="O17" s="503">
        <f t="shared" ref="O17" si="27">IF(N17=1,1,IF(O12-O13-O16&lt;=$C$22,$C$22,O12-O13-O16))</f>
        <v>13004285.597376674</v>
      </c>
      <c r="P17" s="503">
        <f t="shared" ref="P17" si="28">IF(O17=1,1,IF(P12-P13-P16&lt;=$C$22,$C$22,P12-P13-P16))</f>
        <v>11146530.597376674</v>
      </c>
      <c r="Q17" s="503">
        <f t="shared" ref="Q17" si="29">IF(P17=1,1,IF(Q12-Q13-Q16&lt;=$C$22,$C$22,Q12-Q13-Q16))</f>
        <v>9288775.5973766744</v>
      </c>
      <c r="R17" s="503">
        <f t="shared" ref="R17" si="30">IF(Q17=1,1,IF(R12-R13-R16&lt;=$C$22,$C$22,R12-R13-R16))</f>
        <v>7431020.5973766744</v>
      </c>
      <c r="S17" s="503">
        <f t="shared" ref="S17" si="31">IF(R17=1,1,IF(S12-S13-S16&lt;=$C$22,$C$22,S12-S13-S16))</f>
        <v>5573265.5973766744</v>
      </c>
      <c r="T17" s="503">
        <f t="shared" ref="T17" si="32">IF(S17=1,1,IF(T12-T13-T16&lt;=$C$22,$C$22,T12-T13-T16))</f>
        <v>3715510.5973766744</v>
      </c>
      <c r="U17" s="503">
        <f t="shared" ref="U17" si="33">IF(T17=1,1,IF(U12-U13-U16&lt;=$C$22,$C$22,U12-U13-U16))</f>
        <v>1857755.5973766744</v>
      </c>
      <c r="V17" s="503">
        <f t="shared" ref="V17" si="34">IF(U17=1,1,IF(V12-V13-V16&lt;=$C$22,$C$22,V12-V13-V16))</f>
        <v>1</v>
      </c>
      <c r="W17" s="503">
        <f t="shared" ref="W17" si="35">IF(V17=1,1,IF(W12-W13-W16&lt;=$C$22,$C$22,W12-W13-W16))</f>
        <v>1</v>
      </c>
      <c r="X17" s="503">
        <f t="shared" ref="X17" si="36">IF(W17=1,1,IF(X12-X13-X16&lt;=$C$22,$C$22,X12-X13-X16))</f>
        <v>1</v>
      </c>
    </row>
    <row r="18" spans="1:24" s="338" customFormat="1" ht="17">
      <c r="A18" s="351" t="str">
        <f>パラメータ!B118</f>
        <v>建家</v>
      </c>
      <c r="B18" s="352" t="s">
        <v>58</v>
      </c>
      <c r="C18" s="353">
        <f>VLOOKUP(パラメータ!F92,設備耐用年数!C25:D31,2,0)</f>
        <v>38</v>
      </c>
      <c r="D18" s="354" t="s">
        <v>187</v>
      </c>
      <c r="E18" s="504">
        <f>建家</f>
        <v>3839540.792764951</v>
      </c>
      <c r="F18" s="505"/>
      <c r="G18" s="505"/>
      <c r="H18" s="505"/>
      <c r="I18" s="505"/>
      <c r="J18" s="505"/>
      <c r="K18" s="505"/>
      <c r="L18" s="505"/>
      <c r="M18" s="505"/>
      <c r="N18" s="505"/>
      <c r="O18" s="505"/>
      <c r="P18" s="505"/>
      <c r="Q18" s="505"/>
      <c r="R18" s="505"/>
      <c r="S18" s="505"/>
      <c r="T18" s="505"/>
      <c r="U18" s="505"/>
      <c r="V18" s="505"/>
      <c r="W18" s="505"/>
      <c r="X18" s="505"/>
    </row>
    <row r="19" spans="1:24" s="338" customFormat="1" ht="17">
      <c r="A19" s="335"/>
      <c r="B19" s="287" t="s">
        <v>427</v>
      </c>
      <c r="C19" s="488">
        <f>VLOOKUP($C$18,設備耐用年数!$D$5:$G$33,2,0)</f>
        <v>6.6000000000000003E-2</v>
      </c>
      <c r="D19" s="489" t="s">
        <v>429</v>
      </c>
      <c r="E19" s="506">
        <f>+ROUNDDOWN(E18*E20,0)</f>
        <v>53484</v>
      </c>
      <c r="F19" s="498"/>
      <c r="G19" s="498"/>
      <c r="H19" s="498"/>
      <c r="I19" s="498"/>
      <c r="J19" s="498"/>
      <c r="K19" s="498"/>
      <c r="L19" s="498"/>
      <c r="M19" s="498"/>
      <c r="N19" s="498"/>
      <c r="O19" s="498"/>
      <c r="P19" s="498"/>
      <c r="Q19" s="498"/>
      <c r="R19" s="498"/>
      <c r="S19" s="498"/>
      <c r="T19" s="498"/>
      <c r="U19" s="498"/>
      <c r="V19" s="498"/>
      <c r="W19" s="498"/>
      <c r="X19" s="498"/>
    </row>
    <row r="20" spans="1:24" s="338" customFormat="1" ht="17">
      <c r="A20" s="335"/>
      <c r="B20" s="287" t="s">
        <v>428</v>
      </c>
      <c r="C20" s="488">
        <f>VLOOKUP($C$18,設備耐用年数!$D$5:$G$33,3,0)</f>
        <v>6.7000000000000004E-2</v>
      </c>
      <c r="D20" s="490" t="s">
        <v>423</v>
      </c>
      <c r="E20" s="507">
        <f>VLOOKUP($C$18,設備耐用年数!$D$25:$G$31,4,0)</f>
        <v>1.393E-2</v>
      </c>
      <c r="F20" s="498"/>
      <c r="G20" s="498"/>
      <c r="H20" s="498"/>
      <c r="I20" s="498"/>
      <c r="J20" s="498"/>
      <c r="K20" s="498"/>
      <c r="L20" s="498"/>
      <c r="M20" s="498"/>
      <c r="N20" s="498"/>
      <c r="O20" s="498"/>
      <c r="P20" s="498"/>
      <c r="Q20" s="498"/>
      <c r="R20" s="498"/>
      <c r="S20" s="498"/>
      <c r="T20" s="498"/>
      <c r="U20" s="498"/>
      <c r="V20" s="498"/>
      <c r="W20" s="498"/>
      <c r="X20" s="498"/>
    </row>
    <row r="21" spans="1:24" s="338" customFormat="1" ht="17">
      <c r="A21" s="340"/>
      <c r="B21" s="341"/>
      <c r="D21" s="340" t="s">
        <v>57</v>
      </c>
      <c r="E21" s="500">
        <f>E18</f>
        <v>3839540.792764951</v>
      </c>
      <c r="F21" s="500">
        <f>IF(F4&gt;$C$18,$C$22,E26)</f>
        <v>3586131.792764951</v>
      </c>
      <c r="G21" s="500">
        <f t="shared" ref="G21:X21" si="37">IF(G4&gt;$C$18,$C$22,F26)</f>
        <v>3349447.792764951</v>
      </c>
      <c r="H21" s="500">
        <f t="shared" si="37"/>
        <v>3128384.792764951</v>
      </c>
      <c r="I21" s="500">
        <f t="shared" si="37"/>
        <v>2921911.792764951</v>
      </c>
      <c r="J21" s="500">
        <f t="shared" si="37"/>
        <v>2729065.792764951</v>
      </c>
      <c r="K21" s="500">
        <f t="shared" si="37"/>
        <v>2548947.792764951</v>
      </c>
      <c r="L21" s="500">
        <f t="shared" si="37"/>
        <v>2380717.792764951</v>
      </c>
      <c r="M21" s="500">
        <f t="shared" si="37"/>
        <v>2223590.792764951</v>
      </c>
      <c r="N21" s="500">
        <f t="shared" si="37"/>
        <v>2076834.792764951</v>
      </c>
      <c r="O21" s="500">
        <f t="shared" si="37"/>
        <v>1939763.792764951</v>
      </c>
      <c r="P21" s="500">
        <f t="shared" si="37"/>
        <v>1811739.792764951</v>
      </c>
      <c r="Q21" s="500">
        <f t="shared" si="37"/>
        <v>1692165.792764951</v>
      </c>
      <c r="R21" s="500">
        <f t="shared" si="37"/>
        <v>1580483.792764951</v>
      </c>
      <c r="S21" s="500">
        <f t="shared" si="37"/>
        <v>1476172.792764951</v>
      </c>
      <c r="T21" s="500">
        <f t="shared" si="37"/>
        <v>1378745.792764951</v>
      </c>
      <c r="U21" s="500">
        <f t="shared" si="37"/>
        <v>1287748.792764951</v>
      </c>
      <c r="V21" s="500">
        <f>IF(V4&gt;$C$18,$C$22,U26)</f>
        <v>1202757.792764951</v>
      </c>
      <c r="W21" s="500">
        <f t="shared" si="37"/>
        <v>1123375.792764951</v>
      </c>
      <c r="X21" s="500">
        <f t="shared" si="37"/>
        <v>1049233.792764951</v>
      </c>
    </row>
    <row r="22" spans="1:24" s="338" customFormat="1" ht="17">
      <c r="A22" s="342"/>
      <c r="B22" s="343" t="s">
        <v>421</v>
      </c>
      <c r="C22" s="344">
        <v>0</v>
      </c>
      <c r="D22" s="277" t="s">
        <v>605</v>
      </c>
      <c r="E22" s="497"/>
      <c r="F22" s="500"/>
      <c r="G22" s="500"/>
      <c r="H22" s="500"/>
      <c r="I22" s="500"/>
      <c r="J22" s="500"/>
      <c r="K22" s="500"/>
      <c r="L22" s="500"/>
      <c r="M22" s="500"/>
      <c r="N22" s="500"/>
      <c r="O22" s="500"/>
      <c r="P22" s="500"/>
      <c r="Q22" s="500"/>
      <c r="R22" s="500"/>
      <c r="S22" s="500"/>
      <c r="T22" s="500"/>
      <c r="U22" s="506"/>
      <c r="V22" s="506"/>
      <c r="W22" s="506"/>
      <c r="X22" s="506"/>
    </row>
    <row r="23" spans="1:24" s="338" customFormat="1" ht="17">
      <c r="A23" s="345"/>
      <c r="B23" s="346"/>
      <c r="C23" s="347"/>
      <c r="D23" s="277" t="s">
        <v>430</v>
      </c>
      <c r="E23" s="501">
        <f>+ROUNDDOWN(E21*$C$19/12*E5,0)</f>
        <v>253409</v>
      </c>
      <c r="F23" s="501">
        <f>+ROUNDDOWN(F21*$C$19/12*F5,0)</f>
        <v>236684</v>
      </c>
      <c r="G23" s="501">
        <f t="shared" ref="G23:X23" si="38">+ROUNDDOWN(G21*$C$19/12*G5,0)</f>
        <v>221063</v>
      </c>
      <c r="H23" s="501">
        <f t="shared" si="38"/>
        <v>206473</v>
      </c>
      <c r="I23" s="501">
        <f t="shared" si="38"/>
        <v>192846</v>
      </c>
      <c r="J23" s="501">
        <f t="shared" si="38"/>
        <v>180118</v>
      </c>
      <c r="K23" s="501">
        <f t="shared" si="38"/>
        <v>168230</v>
      </c>
      <c r="L23" s="501">
        <f t="shared" si="38"/>
        <v>157127</v>
      </c>
      <c r="M23" s="501">
        <f t="shared" si="38"/>
        <v>146756</v>
      </c>
      <c r="N23" s="501">
        <f t="shared" si="38"/>
        <v>137071</v>
      </c>
      <c r="O23" s="501">
        <f t="shared" si="38"/>
        <v>128024</v>
      </c>
      <c r="P23" s="501">
        <f t="shared" si="38"/>
        <v>119574</v>
      </c>
      <c r="Q23" s="501">
        <f t="shared" si="38"/>
        <v>111682</v>
      </c>
      <c r="R23" s="501">
        <f t="shared" si="38"/>
        <v>104311</v>
      </c>
      <c r="S23" s="501">
        <f t="shared" si="38"/>
        <v>97427</v>
      </c>
      <c r="T23" s="501">
        <f t="shared" si="38"/>
        <v>90997</v>
      </c>
      <c r="U23" s="501">
        <f t="shared" si="38"/>
        <v>84991</v>
      </c>
      <c r="V23" s="501">
        <f t="shared" si="38"/>
        <v>79382</v>
      </c>
      <c r="W23" s="501">
        <f t="shared" si="38"/>
        <v>74142</v>
      </c>
      <c r="X23" s="501">
        <f t="shared" si="38"/>
        <v>69249</v>
      </c>
    </row>
    <row r="24" spans="1:24" s="338" customFormat="1" ht="17">
      <c r="A24" s="345"/>
      <c r="B24" s="346"/>
      <c r="C24" s="347"/>
      <c r="D24" s="277" t="s">
        <v>431</v>
      </c>
      <c r="E24" s="501">
        <v>0</v>
      </c>
      <c r="F24" s="501">
        <f>IF(E24&gt;=1,2,IF(F23&lt;$E$19,1,0))</f>
        <v>0</v>
      </c>
      <c r="G24" s="501">
        <f t="shared" ref="G24:X24" si="39">IF(F24&gt;=1,2,IF(G23&lt;$E$19,1,0))</f>
        <v>0</v>
      </c>
      <c r="H24" s="501">
        <f t="shared" si="39"/>
        <v>0</v>
      </c>
      <c r="I24" s="501">
        <f t="shared" si="39"/>
        <v>0</v>
      </c>
      <c r="J24" s="501">
        <f t="shared" si="39"/>
        <v>0</v>
      </c>
      <c r="K24" s="501">
        <f t="shared" si="39"/>
        <v>0</v>
      </c>
      <c r="L24" s="501">
        <f t="shared" si="39"/>
        <v>0</v>
      </c>
      <c r="M24" s="501">
        <f t="shared" si="39"/>
        <v>0</v>
      </c>
      <c r="N24" s="501">
        <f t="shared" si="39"/>
        <v>0</v>
      </c>
      <c r="O24" s="501">
        <f t="shared" si="39"/>
        <v>0</v>
      </c>
      <c r="P24" s="501">
        <f t="shared" si="39"/>
        <v>0</v>
      </c>
      <c r="Q24" s="501">
        <f t="shared" si="39"/>
        <v>0</v>
      </c>
      <c r="R24" s="501">
        <f t="shared" si="39"/>
        <v>0</v>
      </c>
      <c r="S24" s="501">
        <f t="shared" si="39"/>
        <v>0</v>
      </c>
      <c r="T24" s="501">
        <f t="shared" si="39"/>
        <v>0</v>
      </c>
      <c r="U24" s="502">
        <f t="shared" si="39"/>
        <v>0</v>
      </c>
      <c r="V24" s="502">
        <f t="shared" si="39"/>
        <v>0</v>
      </c>
      <c r="W24" s="502">
        <f t="shared" si="39"/>
        <v>0</v>
      </c>
      <c r="X24" s="502">
        <f t="shared" si="39"/>
        <v>0</v>
      </c>
    </row>
    <row r="25" spans="1:24" s="338" customFormat="1" ht="17">
      <c r="A25" s="345"/>
      <c r="B25" s="346"/>
      <c r="C25" s="347"/>
      <c r="D25" s="277" t="s">
        <v>432</v>
      </c>
      <c r="E25" s="502">
        <f>IF(E24=2,D25,IF(E24=1,ROUNDDOWN(E21*$C$20/12*E5,0),E23))</f>
        <v>253409</v>
      </c>
      <c r="F25" s="502">
        <f t="shared" ref="F25" si="40">IF(F24=2,IF(E25&gt;E26-1,E26-1,E25),IF(F24=1,ROUNDDOWN(F21*$C$20/12*F5,0),F23))</f>
        <v>236684</v>
      </c>
      <c r="G25" s="502">
        <f t="shared" ref="G25" si="41">IF(G24=2,IF(F25&gt;F26-1,F26-1,F25),IF(G24=1,ROUNDDOWN(G21*$C$20/12*G5,0),G23))</f>
        <v>221063</v>
      </c>
      <c r="H25" s="502">
        <f t="shared" ref="H25:I25" si="42">IF(H24=2,IF(G25&gt;G26-1,G26-1,G25),IF(H24=1,ROUNDDOWN(H21*$C$20/12*H5,0),H23))</f>
        <v>206473</v>
      </c>
      <c r="I25" s="502">
        <f t="shared" si="42"/>
        <v>192846</v>
      </c>
      <c r="J25" s="502">
        <f t="shared" ref="J25" si="43">IF(J24=2,IF(I25&gt;I26-1,I26-1,I25),IF(J24=1,ROUNDDOWN(J21*$C$20/12*J5,0),J23))</f>
        <v>180118</v>
      </c>
      <c r="K25" s="502">
        <f t="shared" ref="K25" si="44">IF(K24=2,IF(J25&gt;J26-1,J26-1,J25),IF(K24=1,ROUNDDOWN(K21*$C$20/12*K5,0),K23))</f>
        <v>168230</v>
      </c>
      <c r="L25" s="502">
        <f t="shared" ref="L25:M25" si="45">IF(L24=2,IF(K25&gt;K26-1,K26-1,K25),IF(L24=1,ROUNDDOWN(L21*$C$20/12*L5,0),L23))</f>
        <v>157127</v>
      </c>
      <c r="M25" s="502">
        <f t="shared" si="45"/>
        <v>146756</v>
      </c>
      <c r="N25" s="502">
        <f t="shared" ref="N25" si="46">IF(N24=2,IF(M25&gt;M26-1,M26-1,M25),IF(N24=1,ROUNDDOWN(N21*$C$20/12*N5,0),N23))</f>
        <v>137071</v>
      </c>
      <c r="O25" s="502">
        <f t="shared" ref="O25" si="47">IF(O24=2,IF(N25&gt;N26-1,N26-1,N25),IF(O24=1,ROUNDDOWN(O21*$C$20/12*O5,0),O23))</f>
        <v>128024</v>
      </c>
      <c r="P25" s="502">
        <f t="shared" ref="P25:Q25" si="48">IF(P24=2,IF(O25&gt;O26-1,O26-1,O25),IF(P24=1,ROUNDDOWN(P21*$C$20/12*P5,0),P23))</f>
        <v>119574</v>
      </c>
      <c r="Q25" s="502">
        <f t="shared" si="48"/>
        <v>111682</v>
      </c>
      <c r="R25" s="502">
        <f t="shared" ref="R25" si="49">IF(R24=2,IF(Q25&gt;Q26-1,Q26-1,Q25),IF(R24=1,ROUNDDOWN(R21*$C$20/12*R5,0),R23))</f>
        <v>104311</v>
      </c>
      <c r="S25" s="502">
        <f t="shared" ref="S25" si="50">IF(S24=2,IF(R25&gt;R26-1,R26-1,R25),IF(S24=1,ROUNDDOWN(S21*$C$20/12*S5,0),S23))</f>
        <v>97427</v>
      </c>
      <c r="T25" s="502">
        <f t="shared" ref="T25" si="51">IF(T24=2,IF(S25&gt;S26-1,S26-1,S25),IF(T24=1,ROUNDDOWN(T21*$C$20/12*T5,0),T23))</f>
        <v>90997</v>
      </c>
      <c r="U25" s="502">
        <f>IF(U24=2,IF(T25&gt;T26-1,T26-1,T25),IF(U24=1,ROUNDDOWN(U21*$C$20/12*U5,0),U23))</f>
        <v>84991</v>
      </c>
      <c r="V25" s="502">
        <f t="shared" ref="V25:X25" si="52">IF(V24=2,IF(U25&gt;U26-1,U26-1,U25),IF(V24=1,ROUNDDOWN(V21*$C$20/12*V5,0),V23))</f>
        <v>79382</v>
      </c>
      <c r="W25" s="502">
        <f t="shared" si="52"/>
        <v>74142</v>
      </c>
      <c r="X25" s="502">
        <f t="shared" si="52"/>
        <v>69249</v>
      </c>
    </row>
    <row r="26" spans="1:24" s="338" customFormat="1" ht="17">
      <c r="A26" s="348"/>
      <c r="B26" s="349"/>
      <c r="C26" s="350"/>
      <c r="D26" s="348" t="s">
        <v>48</v>
      </c>
      <c r="E26" s="503">
        <f>E21-E22-E25</f>
        <v>3586131.792764951</v>
      </c>
      <c r="F26" s="503">
        <f t="shared" ref="F26" si="53">IF(E26=1,1,IF(F21-F22-F25&lt;=$C$22,$C$22,F21-F22-F25))</f>
        <v>3349447.792764951</v>
      </c>
      <c r="G26" s="503">
        <f t="shared" ref="G26" si="54">IF(F26=1,1,IF(G21-G22-G25&lt;=$C$22,$C$22,G21-G22-G25))</f>
        <v>3128384.792764951</v>
      </c>
      <c r="H26" s="503">
        <f t="shared" ref="H26" si="55">IF(G26=1,1,IF(H21-H22-H25&lt;=$C$22,$C$22,H21-H22-H25))</f>
        <v>2921911.792764951</v>
      </c>
      <c r="I26" s="503">
        <f t="shared" ref="I26" si="56">IF(H26=1,1,IF(I21-I22-I25&lt;=$C$22,$C$22,I21-I22-I25))</f>
        <v>2729065.792764951</v>
      </c>
      <c r="J26" s="503">
        <f t="shared" ref="J26" si="57">IF(I26=1,1,IF(J21-J22-J25&lt;=$C$22,$C$22,J21-J22-J25))</f>
        <v>2548947.792764951</v>
      </c>
      <c r="K26" s="503">
        <f t="shared" ref="K26" si="58">IF(J26=1,1,IF(K21-K22-K25&lt;=$C$22,$C$22,K21-K22-K25))</f>
        <v>2380717.792764951</v>
      </c>
      <c r="L26" s="503">
        <f t="shared" ref="L26" si="59">IF(K26=1,1,IF(L21-L22-L25&lt;=$C$22,$C$22,L21-L22-L25))</f>
        <v>2223590.792764951</v>
      </c>
      <c r="M26" s="503">
        <f t="shared" ref="M26" si="60">IF(L26=1,1,IF(M21-M22-M25&lt;=$C$22,$C$22,M21-M22-M25))</f>
        <v>2076834.792764951</v>
      </c>
      <c r="N26" s="503">
        <f t="shared" ref="N26" si="61">IF(M26=1,1,IF(N21-N22-N25&lt;=$C$22,$C$22,N21-N22-N25))</f>
        <v>1939763.792764951</v>
      </c>
      <c r="O26" s="503">
        <f t="shared" ref="O26" si="62">IF(N26=1,1,IF(O21-O22-O25&lt;=$C$22,$C$22,O21-O22-O25))</f>
        <v>1811739.792764951</v>
      </c>
      <c r="P26" s="503">
        <f t="shared" ref="P26" si="63">IF(O26=1,1,IF(P21-P22-P25&lt;=$C$22,$C$22,P21-P22-P25))</f>
        <v>1692165.792764951</v>
      </c>
      <c r="Q26" s="503">
        <f t="shared" ref="Q26" si="64">IF(P26=1,1,IF(Q21-Q22-Q25&lt;=$C$22,$C$22,Q21-Q22-Q25))</f>
        <v>1580483.792764951</v>
      </c>
      <c r="R26" s="503">
        <f t="shared" ref="R26" si="65">IF(Q26=1,1,IF(R21-R22-R25&lt;=$C$22,$C$22,R21-R22-R25))</f>
        <v>1476172.792764951</v>
      </c>
      <c r="S26" s="503">
        <f t="shared" ref="S26" si="66">IF(R26=1,1,IF(S21-S22-S25&lt;=$C$22,$C$22,S21-S22-S25))</f>
        <v>1378745.792764951</v>
      </c>
      <c r="T26" s="503">
        <f t="shared" ref="T26" si="67">IF(S26=1,1,IF(T21-T22-T25&lt;=$C$22,$C$22,T21-T22-T25))</f>
        <v>1287748.792764951</v>
      </c>
      <c r="U26" s="503">
        <f t="shared" ref="U26" si="68">IF(T26=1,1,IF(U21-U22-U25&lt;=$C$22,$C$22,U21-U22-U25))</f>
        <v>1202757.792764951</v>
      </c>
      <c r="V26" s="503">
        <f t="shared" ref="V26" si="69">IF(U26=1,1,IF(V21-V22-V25&lt;=$C$22,$C$22,V21-V22-V25))</f>
        <v>1123375.792764951</v>
      </c>
      <c r="W26" s="503">
        <f t="shared" ref="W26" si="70">IF(V26=1,1,IF(W21-W22-W25&lt;=$C$22,$C$22,W21-W22-W25))</f>
        <v>1049233.792764951</v>
      </c>
      <c r="X26" s="503">
        <f t="shared" ref="X26" si="71">IF(W26=1,1,IF(X21-X22-X25&lt;=$C$22,$C$22,X21-X22-X25))</f>
        <v>979984.79276495101</v>
      </c>
    </row>
    <row r="27" spans="1:24" ht="17">
      <c r="A27" s="355" t="s">
        <v>136</v>
      </c>
      <c r="B27" s="356"/>
      <c r="C27" s="356"/>
      <c r="D27" s="356"/>
      <c r="E27" s="508">
        <f>E17+E26</f>
        <v>47760955.390141629</v>
      </c>
      <c r="F27" s="508">
        <f>F17+F26</f>
        <v>42488342.390141629</v>
      </c>
      <c r="G27" s="508">
        <f>G17+G26</f>
        <v>37805446.390141629</v>
      </c>
      <c r="H27" s="508">
        <f t="shared" ref="H27:W27" si="72">H17+H26</f>
        <v>33645788.390141629</v>
      </c>
      <c r="I27" s="508">
        <f t="shared" si="72"/>
        <v>29950421.390141625</v>
      </c>
      <c r="J27" s="508">
        <f t="shared" si="72"/>
        <v>26667069.390141625</v>
      </c>
      <c r="K27" s="508">
        <f t="shared" si="72"/>
        <v>23749374.390141625</v>
      </c>
      <c r="L27" s="508">
        <f t="shared" si="72"/>
        <v>21156221.390141625</v>
      </c>
      <c r="M27" s="508">
        <f t="shared" si="72"/>
        <v>18851146.390141625</v>
      </c>
      <c r="N27" s="508">
        <f t="shared" si="72"/>
        <v>16801804.390141625</v>
      </c>
      <c r="O27" s="508">
        <f>O17+O26</f>
        <v>14816025.390141625</v>
      </c>
      <c r="P27" s="508">
        <f>P17+P26</f>
        <v>12838696.390141625</v>
      </c>
      <c r="Q27" s="508">
        <f t="shared" si="72"/>
        <v>10869259.390141625</v>
      </c>
      <c r="R27" s="508">
        <f t="shared" si="72"/>
        <v>8907193.390141625</v>
      </c>
      <c r="S27" s="508">
        <f t="shared" si="72"/>
        <v>6952011.390141625</v>
      </c>
      <c r="T27" s="508">
        <f t="shared" si="72"/>
        <v>5003259.390141625</v>
      </c>
      <c r="U27" s="508">
        <f>U17+U26</f>
        <v>3060513.3901416254</v>
      </c>
      <c r="V27" s="508">
        <f t="shared" si="72"/>
        <v>1123376.792764951</v>
      </c>
      <c r="W27" s="508">
        <f t="shared" si="72"/>
        <v>1049234.792764951</v>
      </c>
      <c r="X27" s="508">
        <f>X17+X26</f>
        <v>979985.79276495101</v>
      </c>
    </row>
    <row r="28" spans="1:24" ht="17">
      <c r="A28" s="355" t="s">
        <v>86</v>
      </c>
      <c r="B28" s="356"/>
      <c r="C28" s="356"/>
      <c r="D28" s="355"/>
      <c r="E28" s="508">
        <f>E16+E25</f>
        <v>8847145</v>
      </c>
      <c r="F28" s="508">
        <f>F16+F25</f>
        <v>5272613</v>
      </c>
      <c r="G28" s="508">
        <f t="shared" ref="G28:X28" si="73">G16+G25</f>
        <v>4682896</v>
      </c>
      <c r="H28" s="508">
        <f t="shared" si="73"/>
        <v>4159658</v>
      </c>
      <c r="I28" s="508">
        <f t="shared" si="73"/>
        <v>3695367</v>
      </c>
      <c r="J28" s="508">
        <f t="shared" si="73"/>
        <v>3283352</v>
      </c>
      <c r="K28" s="508">
        <f t="shared" si="73"/>
        <v>2917695</v>
      </c>
      <c r="L28" s="508">
        <f t="shared" si="73"/>
        <v>2593153</v>
      </c>
      <c r="M28" s="508">
        <f t="shared" si="73"/>
        <v>2305075</v>
      </c>
      <c r="N28" s="508">
        <f t="shared" si="73"/>
        <v>2049342</v>
      </c>
      <c r="O28" s="508">
        <f>O16+O25</f>
        <v>1985779</v>
      </c>
      <c r="P28" s="508">
        <f t="shared" si="73"/>
        <v>1977329</v>
      </c>
      <c r="Q28" s="508">
        <f t="shared" si="73"/>
        <v>1969437</v>
      </c>
      <c r="R28" s="508">
        <f t="shared" si="73"/>
        <v>1962066</v>
      </c>
      <c r="S28" s="508">
        <f t="shared" si="73"/>
        <v>1955182</v>
      </c>
      <c r="T28" s="508">
        <f t="shared" si="73"/>
        <v>1948752</v>
      </c>
      <c r="U28" s="508">
        <f>U16+U25</f>
        <v>1942746</v>
      </c>
      <c r="V28" s="508">
        <f>V16+V25</f>
        <v>1937136.5973766744</v>
      </c>
      <c r="W28" s="508">
        <f t="shared" si="73"/>
        <v>74142</v>
      </c>
      <c r="X28" s="508">
        <f t="shared" si="73"/>
        <v>69249</v>
      </c>
    </row>
    <row r="29" spans="1:24" ht="17">
      <c r="A29" s="355" t="s">
        <v>59</v>
      </c>
      <c r="B29" s="356"/>
      <c r="C29" s="356"/>
      <c r="D29" s="355"/>
      <c r="E29" s="508">
        <f>E9+E18</f>
        <v>79223197.360445902</v>
      </c>
      <c r="F29" s="508">
        <f>F9+F18</f>
        <v>0</v>
      </c>
      <c r="G29" s="508">
        <f t="shared" ref="G29:X29" si="74">G9+G18</f>
        <v>0</v>
      </c>
      <c r="H29" s="508">
        <f t="shared" si="74"/>
        <v>0</v>
      </c>
      <c r="I29" s="508">
        <f t="shared" si="74"/>
        <v>0</v>
      </c>
      <c r="J29" s="508">
        <f t="shared" si="74"/>
        <v>0</v>
      </c>
      <c r="K29" s="508">
        <f t="shared" si="74"/>
        <v>0</v>
      </c>
      <c r="L29" s="508">
        <f t="shared" si="74"/>
        <v>0</v>
      </c>
      <c r="M29" s="508">
        <f t="shared" si="74"/>
        <v>0</v>
      </c>
      <c r="N29" s="508">
        <f t="shared" si="74"/>
        <v>0</v>
      </c>
      <c r="O29" s="508">
        <f t="shared" si="74"/>
        <v>0</v>
      </c>
      <c r="P29" s="508">
        <f t="shared" si="74"/>
        <v>0</v>
      </c>
      <c r="Q29" s="508">
        <f t="shared" si="74"/>
        <v>0</v>
      </c>
      <c r="R29" s="508">
        <f t="shared" si="74"/>
        <v>0</v>
      </c>
      <c r="S29" s="508">
        <f t="shared" si="74"/>
        <v>0</v>
      </c>
      <c r="T29" s="508">
        <f t="shared" si="74"/>
        <v>0</v>
      </c>
      <c r="U29" s="508">
        <f t="shared" si="74"/>
        <v>0</v>
      </c>
      <c r="V29" s="508">
        <f t="shared" si="74"/>
        <v>0</v>
      </c>
      <c r="W29" s="508">
        <f t="shared" si="74"/>
        <v>0</v>
      </c>
      <c r="X29" s="508">
        <f t="shared" si="74"/>
        <v>0</v>
      </c>
    </row>
    <row r="30" spans="1:24" ht="17">
      <c r="A30" s="355"/>
      <c r="B30" s="356"/>
      <c r="C30" s="356"/>
      <c r="D30" s="355"/>
      <c r="E30" s="508"/>
      <c r="F30" s="508"/>
      <c r="G30" s="508"/>
      <c r="H30" s="508"/>
      <c r="I30" s="508"/>
      <c r="J30" s="508"/>
      <c r="K30" s="508"/>
      <c r="L30" s="508"/>
      <c r="M30" s="508"/>
      <c r="N30" s="508"/>
      <c r="O30" s="508"/>
      <c r="P30" s="508"/>
      <c r="Q30" s="508"/>
      <c r="R30" s="508"/>
      <c r="S30" s="508"/>
      <c r="T30" s="508"/>
      <c r="U30" s="508"/>
      <c r="V30" s="508"/>
      <c r="W30" s="508"/>
      <c r="X30" s="508"/>
    </row>
    <row r="31" spans="1:24" s="338" customFormat="1" ht="17">
      <c r="A31" s="357" t="s">
        <v>68</v>
      </c>
      <c r="B31" s="358" t="s">
        <v>34</v>
      </c>
      <c r="C31" s="359"/>
      <c r="D31" s="360">
        <f>固定資産税率</f>
        <v>1.4E-2</v>
      </c>
      <c r="E31" s="383"/>
      <c r="F31" s="383"/>
      <c r="G31" s="383"/>
      <c r="H31" s="383"/>
      <c r="I31" s="383"/>
      <c r="J31" s="383"/>
      <c r="K31" s="383"/>
      <c r="L31" s="383"/>
      <c r="M31" s="383"/>
      <c r="N31" s="383"/>
      <c r="O31" s="383"/>
      <c r="P31" s="383"/>
      <c r="Q31" s="383"/>
      <c r="R31" s="383"/>
      <c r="S31" s="383"/>
      <c r="T31" s="383"/>
      <c r="U31" s="383"/>
      <c r="V31" s="383"/>
      <c r="W31" s="383"/>
      <c r="X31" s="383"/>
    </row>
    <row r="32" spans="1:24" ht="17">
      <c r="A32" s="361" t="str">
        <f>A9</f>
        <v>機械装置</v>
      </c>
      <c r="B32" s="340" t="s">
        <v>44</v>
      </c>
      <c r="C32" s="362"/>
      <c r="D32" s="338"/>
      <c r="E32" s="384">
        <f>機械装置</f>
        <v>75383656.567680955</v>
      </c>
      <c r="F32" s="384"/>
      <c r="G32" s="384"/>
      <c r="H32" s="384"/>
      <c r="I32" s="384"/>
      <c r="J32" s="384"/>
      <c r="K32" s="384"/>
      <c r="L32" s="384"/>
      <c r="M32" s="384"/>
      <c r="N32" s="384"/>
      <c r="O32" s="384"/>
      <c r="P32" s="384"/>
      <c r="Q32" s="384"/>
      <c r="R32" s="384"/>
      <c r="S32" s="384"/>
      <c r="T32" s="384"/>
      <c r="U32" s="384"/>
      <c r="V32" s="384"/>
      <c r="W32" s="384"/>
      <c r="X32" s="384"/>
    </row>
    <row r="33" spans="1:25" ht="17">
      <c r="A33" s="361" t="s">
        <v>188</v>
      </c>
      <c r="B33" s="340" t="s">
        <v>75</v>
      </c>
      <c r="C33" s="362"/>
      <c r="D33" s="338"/>
      <c r="E33" s="385">
        <f>E32*(1-$D35/2)</f>
        <v>71652165.567580745</v>
      </c>
      <c r="F33" s="385">
        <f t="shared" ref="F33:X33" si="75">E33*(1-$D35)</f>
        <v>64558601.176390253</v>
      </c>
      <c r="G33" s="385">
        <f>F33*(1-$D35)</f>
        <v>58167299.659927621</v>
      </c>
      <c r="H33" s="385">
        <f t="shared" si="75"/>
        <v>52408736.993594788</v>
      </c>
      <c r="I33" s="385">
        <f t="shared" si="75"/>
        <v>47220272.031228907</v>
      </c>
      <c r="J33" s="384">
        <f t="shared" si="75"/>
        <v>42545465.100137249</v>
      </c>
      <c r="K33" s="384">
        <f t="shared" si="75"/>
        <v>38333464.055223659</v>
      </c>
      <c r="L33" s="384">
        <f t="shared" si="75"/>
        <v>34538451.113756515</v>
      </c>
      <c r="M33" s="384">
        <f t="shared" si="75"/>
        <v>31119144.45349462</v>
      </c>
      <c r="N33" s="384">
        <f t="shared" si="75"/>
        <v>28038349.152598653</v>
      </c>
      <c r="O33" s="384">
        <f t="shared" si="75"/>
        <v>25262552.586491387</v>
      </c>
      <c r="P33" s="384">
        <f t="shared" si="75"/>
        <v>22761559.880428739</v>
      </c>
      <c r="Q33" s="384">
        <f t="shared" si="75"/>
        <v>20508165.452266295</v>
      </c>
      <c r="R33" s="384">
        <f t="shared" si="75"/>
        <v>18477857.072491933</v>
      </c>
      <c r="S33" s="384">
        <f t="shared" si="75"/>
        <v>16648549.222315231</v>
      </c>
      <c r="T33" s="384">
        <f t="shared" si="75"/>
        <v>15000342.849306025</v>
      </c>
      <c r="U33" s="384">
        <f t="shared" si="75"/>
        <v>13515308.907224728</v>
      </c>
      <c r="V33" s="384">
        <f t="shared" si="75"/>
        <v>12177293.325409479</v>
      </c>
      <c r="W33" s="384">
        <f t="shared" si="75"/>
        <v>10971741.286193941</v>
      </c>
      <c r="X33" s="384">
        <f t="shared" si="75"/>
        <v>9885538.8988607414</v>
      </c>
      <c r="Y33" s="364"/>
    </row>
    <row r="34" spans="1:25" ht="17">
      <c r="A34" s="361"/>
      <c r="B34" s="277" t="s">
        <v>440</v>
      </c>
      <c r="C34" s="362"/>
      <c r="D34" s="338"/>
      <c r="E34" s="385">
        <f>E33/3</f>
        <v>23884055.18919358</v>
      </c>
      <c r="F34" s="385">
        <f>F33/3</f>
        <v>21519533.725463416</v>
      </c>
      <c r="G34" s="385">
        <f>G33/3</f>
        <v>19389099.886642542</v>
      </c>
      <c r="H34" s="385"/>
      <c r="I34" s="385"/>
      <c r="J34" s="384"/>
      <c r="K34" s="384"/>
      <c r="L34" s="384"/>
      <c r="M34" s="384"/>
      <c r="N34" s="384"/>
      <c r="O34" s="384"/>
      <c r="P34" s="384"/>
      <c r="Q34" s="384"/>
      <c r="R34" s="384"/>
      <c r="S34" s="384"/>
      <c r="T34" s="384"/>
      <c r="U34" s="384"/>
      <c r="V34" s="384"/>
      <c r="W34" s="384"/>
      <c r="X34" s="384"/>
      <c r="Y34" s="364"/>
    </row>
    <row r="35" spans="1:25" ht="17">
      <c r="A35" s="338"/>
      <c r="B35" s="340" t="s">
        <v>147</v>
      </c>
      <c r="C35" s="480">
        <f>C9</f>
        <v>22</v>
      </c>
      <c r="D35" s="365">
        <f>VLOOKUP(C35,設備耐用年数!D5:H33,5,0)</f>
        <v>9.9000000000000005E-2</v>
      </c>
      <c r="E35" s="384">
        <f>IF(E34&lt;&gt;0,E34*$D$31,E33*$D$31)</f>
        <v>334376.77264871012</v>
      </c>
      <c r="F35" s="384">
        <f>IF(F34&lt;&gt;0,F34*$D$31,F33*$D$31)</f>
        <v>301273.47215648781</v>
      </c>
      <c r="G35" s="384">
        <f>IF(G34&lt;&gt;0,G34*$D$31,G33*$D$31)</f>
        <v>271447.39841299556</v>
      </c>
      <c r="H35" s="384">
        <f>IF(H34&lt;&gt;0,H34*$D$31,H33*$D$31)</f>
        <v>733722.31791032699</v>
      </c>
      <c r="I35" s="384">
        <f t="shared" ref="I35:X35" si="76">IF(I34&lt;&gt;0,I34*$D$31,I33*$D$31)</f>
        <v>661083.80843720469</v>
      </c>
      <c r="J35" s="384">
        <f t="shared" si="76"/>
        <v>595636.51140192151</v>
      </c>
      <c r="K35" s="384">
        <f t="shared" si="76"/>
        <v>536668.49677313119</v>
      </c>
      <c r="L35" s="384">
        <f t="shared" si="76"/>
        <v>483538.31559259124</v>
      </c>
      <c r="M35" s="384">
        <f t="shared" si="76"/>
        <v>435668.02234892466</v>
      </c>
      <c r="N35" s="384">
        <f t="shared" si="76"/>
        <v>392536.88813638117</v>
      </c>
      <c r="O35" s="384">
        <f t="shared" si="76"/>
        <v>353675.7362108794</v>
      </c>
      <c r="P35" s="384">
        <f t="shared" si="76"/>
        <v>318661.83832600235</v>
      </c>
      <c r="Q35" s="384">
        <f t="shared" si="76"/>
        <v>287114.31633172813</v>
      </c>
      <c r="R35" s="384">
        <f t="shared" si="76"/>
        <v>258689.99901488706</v>
      </c>
      <c r="S35" s="384">
        <f t="shared" si="76"/>
        <v>233079.68911241324</v>
      </c>
      <c r="T35" s="384">
        <f t="shared" si="76"/>
        <v>210004.79989028434</v>
      </c>
      <c r="U35" s="384">
        <f t="shared" si="76"/>
        <v>189214.32470114619</v>
      </c>
      <c r="V35" s="384">
        <f t="shared" si="76"/>
        <v>170482.10655573272</v>
      </c>
      <c r="W35" s="384">
        <f t="shared" si="76"/>
        <v>153604.37800671518</v>
      </c>
      <c r="X35" s="384">
        <f t="shared" si="76"/>
        <v>138397.5445840504</v>
      </c>
      <c r="Y35" s="363"/>
    </row>
    <row r="36" spans="1:25" ht="17">
      <c r="A36" s="241" t="str">
        <f>A18</f>
        <v>建家</v>
      </c>
      <c r="B36" s="366" t="s">
        <v>44</v>
      </c>
      <c r="C36" s="367"/>
      <c r="D36" s="368"/>
      <c r="E36" s="386">
        <f>建家</f>
        <v>3839540.792764951</v>
      </c>
      <c r="F36" s="386"/>
      <c r="G36" s="386"/>
      <c r="H36" s="386"/>
      <c r="I36" s="386"/>
      <c r="J36" s="386"/>
      <c r="K36" s="386"/>
      <c r="L36" s="386"/>
      <c r="M36" s="386"/>
      <c r="N36" s="386"/>
      <c r="O36" s="386"/>
      <c r="P36" s="386"/>
      <c r="Q36" s="386"/>
      <c r="R36" s="386"/>
      <c r="S36" s="386"/>
      <c r="T36" s="386"/>
      <c r="U36" s="386"/>
      <c r="V36" s="386"/>
      <c r="W36" s="386"/>
      <c r="X36" s="386"/>
    </row>
    <row r="37" spans="1:25" ht="17">
      <c r="A37" s="361" t="s">
        <v>188</v>
      </c>
      <c r="B37" s="340" t="s">
        <v>75</v>
      </c>
      <c r="C37" s="362"/>
      <c r="D37" s="338"/>
      <c r="E37" s="382">
        <f>E36*(1-$D39/2)</f>
        <v>3726274.3393783849</v>
      </c>
      <c r="F37" s="382">
        <f t="shared" ref="F37:X37" si="77">E37*(1-$D39)</f>
        <v>3506424.1533550606</v>
      </c>
      <c r="G37" s="382">
        <f t="shared" si="77"/>
        <v>3299545.128307112</v>
      </c>
      <c r="H37" s="382">
        <f t="shared" si="77"/>
        <v>3104871.9657369927</v>
      </c>
      <c r="I37" s="382">
        <f t="shared" si="77"/>
        <v>2921684.5197585104</v>
      </c>
      <c r="J37" s="380">
        <f t="shared" si="77"/>
        <v>2749305.1330927582</v>
      </c>
      <c r="K37" s="380">
        <f t="shared" si="77"/>
        <v>2587096.1302402858</v>
      </c>
      <c r="L37" s="380">
        <f t="shared" si="77"/>
        <v>2434457.4585561091</v>
      </c>
      <c r="M37" s="380">
        <f t="shared" si="77"/>
        <v>2290824.4685012987</v>
      </c>
      <c r="N37" s="380">
        <f t="shared" si="77"/>
        <v>2155665.8248597221</v>
      </c>
      <c r="O37" s="380">
        <f t="shared" si="77"/>
        <v>2028481.5411929986</v>
      </c>
      <c r="P37" s="380">
        <f t="shared" si="77"/>
        <v>1908801.1302626119</v>
      </c>
      <c r="Q37" s="380">
        <f t="shared" si="77"/>
        <v>1796181.8635771179</v>
      </c>
      <c r="R37" s="380">
        <f t="shared" si="77"/>
        <v>1690207.133626068</v>
      </c>
      <c r="S37" s="380">
        <f t="shared" si="77"/>
        <v>1590484.91274213</v>
      </c>
      <c r="T37" s="380">
        <f t="shared" si="77"/>
        <v>1496646.3028903445</v>
      </c>
      <c r="U37" s="380">
        <f t="shared" si="77"/>
        <v>1408344.1710198142</v>
      </c>
      <c r="V37" s="380">
        <f t="shared" si="77"/>
        <v>1325251.8649296453</v>
      </c>
      <c r="W37" s="380">
        <f t="shared" si="77"/>
        <v>1247062.0048987963</v>
      </c>
      <c r="X37" s="380">
        <f t="shared" si="77"/>
        <v>1173485.3466097675</v>
      </c>
      <c r="Y37" s="364"/>
    </row>
    <row r="38" spans="1:25" ht="17">
      <c r="A38" s="361"/>
      <c r="B38" s="277" t="s">
        <v>440</v>
      </c>
      <c r="C38" s="362"/>
      <c r="D38" s="338"/>
      <c r="E38" s="382">
        <v>0</v>
      </c>
      <c r="F38" s="382">
        <v>0</v>
      </c>
      <c r="G38" s="382">
        <v>0</v>
      </c>
      <c r="H38" s="382"/>
      <c r="I38" s="382"/>
      <c r="J38" s="380"/>
      <c r="K38" s="380"/>
      <c r="L38" s="380"/>
      <c r="M38" s="380"/>
      <c r="N38" s="380"/>
      <c r="O38" s="380"/>
      <c r="P38" s="380"/>
      <c r="Q38" s="380"/>
      <c r="R38" s="380"/>
      <c r="S38" s="380"/>
      <c r="T38" s="380"/>
      <c r="U38" s="380"/>
      <c r="V38" s="380"/>
      <c r="W38" s="380"/>
      <c r="X38" s="380"/>
      <c r="Y38" s="364"/>
    </row>
    <row r="39" spans="1:25" ht="17">
      <c r="A39" s="369"/>
      <c r="B39" s="348" t="s">
        <v>147</v>
      </c>
      <c r="C39" s="481">
        <f>C18</f>
        <v>38</v>
      </c>
      <c r="D39" s="365">
        <f>VLOOKUP(C39,設備耐用年数!D5:H33,5,0)</f>
        <v>5.8999999999999997E-2</v>
      </c>
      <c r="E39" s="387">
        <f t="shared" ref="E39:X39" si="78">IF(E38&lt;&gt;0,E38*$D$31,E37*$D$31)</f>
        <v>52167.840751297386</v>
      </c>
      <c r="F39" s="387">
        <f t="shared" si="78"/>
        <v>49089.938146970846</v>
      </c>
      <c r="G39" s="387">
        <f t="shared" si="78"/>
        <v>46193.631796299567</v>
      </c>
      <c r="H39" s="388">
        <f t="shared" si="78"/>
        <v>43468.207520317897</v>
      </c>
      <c r="I39" s="388">
        <f t="shared" si="78"/>
        <v>40903.583276619145</v>
      </c>
      <c r="J39" s="388">
        <f t="shared" si="78"/>
        <v>38490.271863298614</v>
      </c>
      <c r="K39" s="388">
        <f t="shared" si="78"/>
        <v>36219.345823364005</v>
      </c>
      <c r="L39" s="388">
        <f t="shared" si="78"/>
        <v>34082.404419785526</v>
      </c>
      <c r="M39" s="388">
        <f t="shared" si="78"/>
        <v>32071.542559018184</v>
      </c>
      <c r="N39" s="388">
        <f t="shared" si="78"/>
        <v>30179.32154803611</v>
      </c>
      <c r="O39" s="388">
        <f t="shared" si="78"/>
        <v>28398.741576701981</v>
      </c>
      <c r="P39" s="388">
        <f t="shared" si="78"/>
        <v>26723.215823676568</v>
      </c>
      <c r="Q39" s="388">
        <f t="shared" si="78"/>
        <v>25146.54609007965</v>
      </c>
      <c r="R39" s="388">
        <f t="shared" si="78"/>
        <v>23662.899870764952</v>
      </c>
      <c r="S39" s="388">
        <f t="shared" si="78"/>
        <v>22266.788778389819</v>
      </c>
      <c r="T39" s="388">
        <f t="shared" si="78"/>
        <v>20953.048240464825</v>
      </c>
      <c r="U39" s="388">
        <f t="shared" si="78"/>
        <v>19716.818394277398</v>
      </c>
      <c r="V39" s="388">
        <f t="shared" si="78"/>
        <v>18553.526109015034</v>
      </c>
      <c r="W39" s="388">
        <f t="shared" si="78"/>
        <v>17458.86806858315</v>
      </c>
      <c r="X39" s="388">
        <f t="shared" si="78"/>
        <v>16428.794852536746</v>
      </c>
      <c r="Y39" s="363"/>
    </row>
    <row r="40" spans="1:25" ht="17">
      <c r="A40" s="369"/>
      <c r="B40" s="348" t="s">
        <v>24</v>
      </c>
      <c r="C40" s="370"/>
      <c r="D40" s="371"/>
      <c r="E40" s="388">
        <v>0</v>
      </c>
      <c r="F40" s="388">
        <f>IF(事業主体="自治体",0,E39+E35)</f>
        <v>386544.61340000748</v>
      </c>
      <c r="G40" s="388">
        <f>IF(事業主体="自治体",0,F39+F35)</f>
        <v>350363.41030345869</v>
      </c>
      <c r="H40" s="388">
        <f>IF(事業主体="自治体",0,G39+G35)</f>
        <v>317641.0302092951</v>
      </c>
      <c r="I40" s="388">
        <f t="shared" ref="I40:X40" si="79">IF(事業主体="自治体",0,H39+H35)</f>
        <v>777190.52543064486</v>
      </c>
      <c r="J40" s="388">
        <f t="shared" si="79"/>
        <v>701987.39171382389</v>
      </c>
      <c r="K40" s="388">
        <f t="shared" si="79"/>
        <v>634126.78326522012</v>
      </c>
      <c r="L40" s="388">
        <f t="shared" si="79"/>
        <v>572887.84259649517</v>
      </c>
      <c r="M40" s="388">
        <f t="shared" si="79"/>
        <v>517620.72001237678</v>
      </c>
      <c r="N40" s="388">
        <f t="shared" si="79"/>
        <v>467739.56490794284</v>
      </c>
      <c r="O40" s="388">
        <f t="shared" si="79"/>
        <v>422716.20968441729</v>
      </c>
      <c r="P40" s="388">
        <f t="shared" si="79"/>
        <v>382074.47778758139</v>
      </c>
      <c r="Q40" s="388">
        <f t="shared" si="79"/>
        <v>345385.05414967891</v>
      </c>
      <c r="R40" s="388">
        <f t="shared" si="79"/>
        <v>312260.86242180777</v>
      </c>
      <c r="S40" s="388">
        <f t="shared" si="79"/>
        <v>282352.89888565202</v>
      </c>
      <c r="T40" s="388">
        <f t="shared" si="79"/>
        <v>255346.47789080307</v>
      </c>
      <c r="U40" s="388">
        <f t="shared" si="79"/>
        <v>230957.84813074916</v>
      </c>
      <c r="V40" s="388">
        <f t="shared" si="79"/>
        <v>208931.14309542358</v>
      </c>
      <c r="W40" s="388">
        <f t="shared" si="79"/>
        <v>189035.63266474777</v>
      </c>
      <c r="X40" s="388">
        <f t="shared" si="79"/>
        <v>171063.24607529835</v>
      </c>
    </row>
    <row r="41" spans="1:25" ht="17" hidden="1">
      <c r="A41" s="340"/>
      <c r="B41" s="372"/>
      <c r="C41" s="373"/>
      <c r="D41" s="340" t="s">
        <v>48</v>
      </c>
      <c r="E41" s="381">
        <f>E37+E38-E39-E40</f>
        <v>3674106.4986270876</v>
      </c>
      <c r="F41" s="388">
        <f t="shared" ref="F41:X41" si="80">F37+F38-F39-F40</f>
        <v>3070789.6018080823</v>
      </c>
      <c r="G41" s="388">
        <f t="shared" si="80"/>
        <v>2902988.086207354</v>
      </c>
      <c r="H41" s="388">
        <f t="shared" si="80"/>
        <v>2743762.7280073799</v>
      </c>
      <c r="I41" s="388">
        <f t="shared" si="80"/>
        <v>2103590.4110512463</v>
      </c>
      <c r="J41" s="388">
        <f t="shared" si="80"/>
        <v>2008827.4695156359</v>
      </c>
      <c r="K41" s="388">
        <f t="shared" si="80"/>
        <v>1916750.0011517019</v>
      </c>
      <c r="L41" s="388">
        <f t="shared" si="80"/>
        <v>1827487.2115398287</v>
      </c>
      <c r="M41" s="388">
        <f t="shared" si="80"/>
        <v>1741132.2059299035</v>
      </c>
      <c r="N41" s="388">
        <f t="shared" si="80"/>
        <v>1657746.9384037429</v>
      </c>
      <c r="O41" s="388">
        <f t="shared" si="80"/>
        <v>1577366.5899318794</v>
      </c>
      <c r="P41" s="388">
        <f t="shared" si="80"/>
        <v>1500003.4366513537</v>
      </c>
      <c r="Q41" s="388">
        <f t="shared" si="80"/>
        <v>1425650.2633373593</v>
      </c>
      <c r="R41" s="388">
        <f t="shared" si="80"/>
        <v>1354283.3713334952</v>
      </c>
      <c r="S41" s="388">
        <f t="shared" si="80"/>
        <v>1285865.2250780882</v>
      </c>
      <c r="T41" s="388">
        <f t="shared" si="80"/>
        <v>1220346.7767590766</v>
      </c>
      <c r="U41" s="388">
        <f t="shared" si="80"/>
        <v>1157669.5044947877</v>
      </c>
      <c r="V41" s="388">
        <f t="shared" si="80"/>
        <v>1097767.1957252068</v>
      </c>
      <c r="W41" s="388">
        <f t="shared" si="80"/>
        <v>1040567.5041654655</v>
      </c>
      <c r="X41" s="388">
        <f t="shared" si="80"/>
        <v>985993.30568193248</v>
      </c>
    </row>
    <row r="43" spans="1:25">
      <c r="E43" s="374"/>
    </row>
    <row r="44" spans="1:25">
      <c r="E44" s="375"/>
      <c r="F44" s="112"/>
      <c r="G44" s="112"/>
      <c r="H44" s="112"/>
      <c r="I44" s="112"/>
    </row>
    <row r="45" spans="1:25">
      <c r="F45" s="112"/>
      <c r="G45" s="112"/>
      <c r="H45" s="112"/>
      <c r="I45" s="112"/>
    </row>
    <row r="47" spans="1:25" ht="17">
      <c r="F47" s="271" t="s">
        <v>185</v>
      </c>
      <c r="G47" s="323">
        <v>22</v>
      </c>
    </row>
    <row r="48" spans="1:25" ht="17">
      <c r="F48" s="271" t="s">
        <v>186</v>
      </c>
      <c r="G48" s="323">
        <v>0.114</v>
      </c>
    </row>
    <row r="49" spans="6:12" ht="17">
      <c r="F49" s="271" t="s">
        <v>422</v>
      </c>
      <c r="G49" s="323">
        <v>0.125</v>
      </c>
    </row>
    <row r="50" spans="6:12" ht="17">
      <c r="F50" s="271" t="s">
        <v>423</v>
      </c>
      <c r="G50" s="323">
        <v>2.2960000000000001E-2</v>
      </c>
    </row>
    <row r="51" spans="6:12" ht="17">
      <c r="F51" s="271" t="s">
        <v>429</v>
      </c>
      <c r="G51" s="376">
        <f>+ROUNDDOWN($G$54*$G$50,0)</f>
        <v>1730808</v>
      </c>
    </row>
    <row r="52" spans="6:12" s="377" customFormat="1" ht="17"/>
    <row r="53" spans="6:12" s="377" customFormat="1" ht="17">
      <c r="F53" s="377" t="s">
        <v>183</v>
      </c>
      <c r="G53" s="377" t="s">
        <v>184</v>
      </c>
      <c r="H53" s="377" t="s">
        <v>424</v>
      </c>
      <c r="I53" s="377">
        <v>0</v>
      </c>
      <c r="J53" s="377" t="s">
        <v>425</v>
      </c>
      <c r="K53" s="377" t="s">
        <v>426</v>
      </c>
    </row>
    <row r="54" spans="6:12" s="377" customFormat="1" ht="17">
      <c r="F54" s="377">
        <v>1</v>
      </c>
      <c r="G54" s="378">
        <f>E9</f>
        <v>75383656.567680955</v>
      </c>
      <c r="H54" s="376">
        <f>+ROUNDDOWN(G54*$G$48,0)</f>
        <v>8593736</v>
      </c>
      <c r="I54" s="378">
        <f>IF(I53&gt;=1,2,IF(H54&lt;$G$51,1,0))</f>
        <v>0</v>
      </c>
      <c r="J54" s="379">
        <f t="shared" ref="J54:J75" si="81">IF(I54=2,J53,IF(I54=1,G54*$G$49,H54))</f>
        <v>8593736</v>
      </c>
      <c r="K54" s="379">
        <f>J54</f>
        <v>8593736</v>
      </c>
      <c r="L54" s="379"/>
    </row>
    <row r="55" spans="6:12" s="377" customFormat="1" ht="17">
      <c r="F55" s="377">
        <v>2</v>
      </c>
      <c r="G55" s="378">
        <f t="shared" ref="G55:G75" si="82">G54-J54</f>
        <v>66789920.567680955</v>
      </c>
      <c r="H55" s="376">
        <f t="shared" ref="H55:H75" si="83">+ROUNDDOWN(G55*$G$48,0)</f>
        <v>7614050</v>
      </c>
      <c r="I55" s="378">
        <f t="shared" ref="I55:I74" si="84">IF(I54&gt;=1,2,IF(H55&lt;$G$51,1,0))</f>
        <v>0</v>
      </c>
      <c r="J55" s="379">
        <f t="shared" si="81"/>
        <v>7614050</v>
      </c>
      <c r="K55" s="379">
        <f>J55+K54</f>
        <v>16207786</v>
      </c>
      <c r="L55" s="379"/>
    </row>
    <row r="56" spans="6:12" s="377" customFormat="1" ht="17">
      <c r="F56" s="377">
        <v>3</v>
      </c>
      <c r="G56" s="378">
        <f t="shared" si="82"/>
        <v>59175870.567680955</v>
      </c>
      <c r="H56" s="376">
        <f t="shared" si="83"/>
        <v>6746049</v>
      </c>
      <c r="I56" s="378">
        <f t="shared" si="84"/>
        <v>0</v>
      </c>
      <c r="J56" s="379">
        <f t="shared" si="81"/>
        <v>6746049</v>
      </c>
      <c r="K56" s="379">
        <f t="shared" ref="K56:K75" si="85">J56+K55</f>
        <v>22953835</v>
      </c>
      <c r="L56" s="379"/>
    </row>
    <row r="57" spans="6:12" s="377" customFormat="1" ht="17">
      <c r="F57" s="377">
        <v>4</v>
      </c>
      <c r="G57" s="378">
        <f t="shared" si="82"/>
        <v>52429821.567680955</v>
      </c>
      <c r="H57" s="376">
        <f t="shared" si="83"/>
        <v>5976999</v>
      </c>
      <c r="I57" s="378">
        <f t="shared" si="84"/>
        <v>0</v>
      </c>
      <c r="J57" s="379">
        <f t="shared" si="81"/>
        <v>5976999</v>
      </c>
      <c r="K57" s="379">
        <f t="shared" si="85"/>
        <v>28930834</v>
      </c>
      <c r="L57" s="379"/>
    </row>
    <row r="58" spans="6:12" s="377" customFormat="1" ht="17">
      <c r="F58" s="377">
        <v>5</v>
      </c>
      <c r="G58" s="378">
        <f t="shared" si="82"/>
        <v>46452822.567680955</v>
      </c>
      <c r="H58" s="376">
        <f t="shared" si="83"/>
        <v>5295621</v>
      </c>
      <c r="I58" s="378">
        <f t="shared" si="84"/>
        <v>0</v>
      </c>
      <c r="J58" s="379">
        <f t="shared" si="81"/>
        <v>5295621</v>
      </c>
      <c r="K58" s="379">
        <f t="shared" si="85"/>
        <v>34226455</v>
      </c>
      <c r="L58" s="379"/>
    </row>
    <row r="59" spans="6:12" s="377" customFormat="1" ht="17">
      <c r="F59" s="377">
        <v>6</v>
      </c>
      <c r="G59" s="378">
        <f t="shared" si="82"/>
        <v>41157201.567680955</v>
      </c>
      <c r="H59" s="376">
        <f t="shared" si="83"/>
        <v>4691920</v>
      </c>
      <c r="I59" s="378">
        <f t="shared" si="84"/>
        <v>0</v>
      </c>
      <c r="J59" s="379">
        <f t="shared" si="81"/>
        <v>4691920</v>
      </c>
      <c r="K59" s="379">
        <f t="shared" si="85"/>
        <v>38918375</v>
      </c>
      <c r="L59" s="379"/>
    </row>
    <row r="60" spans="6:12" s="377" customFormat="1" ht="17">
      <c r="F60" s="377">
        <v>7</v>
      </c>
      <c r="G60" s="378">
        <f t="shared" si="82"/>
        <v>36465281.567680955</v>
      </c>
      <c r="H60" s="376">
        <f t="shared" si="83"/>
        <v>4157042</v>
      </c>
      <c r="I60" s="378">
        <f t="shared" si="84"/>
        <v>0</v>
      </c>
      <c r="J60" s="379">
        <f t="shared" si="81"/>
        <v>4157042</v>
      </c>
      <c r="K60" s="379">
        <f t="shared" si="85"/>
        <v>43075417</v>
      </c>
      <c r="L60" s="379"/>
    </row>
    <row r="61" spans="6:12" s="377" customFormat="1" ht="17">
      <c r="F61" s="377">
        <v>8</v>
      </c>
      <c r="G61" s="378">
        <f t="shared" si="82"/>
        <v>32308239.567680955</v>
      </c>
      <c r="H61" s="376">
        <f t="shared" si="83"/>
        <v>3683139</v>
      </c>
      <c r="I61" s="378">
        <f t="shared" si="84"/>
        <v>0</v>
      </c>
      <c r="J61" s="379">
        <f t="shared" si="81"/>
        <v>3683139</v>
      </c>
      <c r="K61" s="379">
        <f t="shared" si="85"/>
        <v>46758556</v>
      </c>
      <c r="L61" s="379"/>
    </row>
    <row r="62" spans="6:12" s="377" customFormat="1" ht="17">
      <c r="F62" s="377">
        <v>9</v>
      </c>
      <c r="G62" s="378">
        <f t="shared" si="82"/>
        <v>28625100.567680955</v>
      </c>
      <c r="H62" s="376">
        <f t="shared" si="83"/>
        <v>3263261</v>
      </c>
      <c r="I62" s="378">
        <f t="shared" si="84"/>
        <v>0</v>
      </c>
      <c r="J62" s="379">
        <f t="shared" si="81"/>
        <v>3263261</v>
      </c>
      <c r="K62" s="379">
        <f t="shared" si="85"/>
        <v>50021817</v>
      </c>
      <c r="L62" s="379"/>
    </row>
    <row r="63" spans="6:12" s="377" customFormat="1" ht="17">
      <c r="F63" s="377">
        <v>10</v>
      </c>
      <c r="G63" s="378">
        <f t="shared" si="82"/>
        <v>25361839.567680955</v>
      </c>
      <c r="H63" s="376">
        <f t="shared" si="83"/>
        <v>2891249</v>
      </c>
      <c r="I63" s="378">
        <f t="shared" si="84"/>
        <v>0</v>
      </c>
      <c r="J63" s="379">
        <f t="shared" si="81"/>
        <v>2891249</v>
      </c>
      <c r="K63" s="379">
        <f t="shared" si="85"/>
        <v>52913066</v>
      </c>
      <c r="L63" s="379"/>
    </row>
    <row r="64" spans="6:12" s="377" customFormat="1" ht="17">
      <c r="F64" s="377">
        <v>11</v>
      </c>
      <c r="G64" s="378">
        <f t="shared" si="82"/>
        <v>22470590.567680955</v>
      </c>
      <c r="H64" s="376">
        <f t="shared" si="83"/>
        <v>2561647</v>
      </c>
      <c r="I64" s="378">
        <f t="shared" si="84"/>
        <v>0</v>
      </c>
      <c r="J64" s="379">
        <f t="shared" si="81"/>
        <v>2561647</v>
      </c>
      <c r="K64" s="379">
        <f t="shared" si="85"/>
        <v>55474713</v>
      </c>
      <c r="L64" s="379"/>
    </row>
    <row r="65" spans="6:12" s="377" customFormat="1" ht="17">
      <c r="F65" s="377">
        <v>12</v>
      </c>
      <c r="G65" s="378">
        <f t="shared" si="82"/>
        <v>19908943.567680955</v>
      </c>
      <c r="H65" s="376">
        <f t="shared" si="83"/>
        <v>2269619</v>
      </c>
      <c r="I65" s="378">
        <f t="shared" si="84"/>
        <v>0</v>
      </c>
      <c r="J65" s="379">
        <f t="shared" si="81"/>
        <v>2269619</v>
      </c>
      <c r="K65" s="379">
        <f t="shared" si="85"/>
        <v>57744332</v>
      </c>
      <c r="L65" s="379"/>
    </row>
    <row r="66" spans="6:12" s="377" customFormat="1" ht="17">
      <c r="F66" s="377">
        <v>13</v>
      </c>
      <c r="G66" s="378">
        <f t="shared" si="82"/>
        <v>17639324.567680955</v>
      </c>
      <c r="H66" s="376">
        <f t="shared" si="83"/>
        <v>2010883</v>
      </c>
      <c r="I66" s="378">
        <f t="shared" si="84"/>
        <v>0</v>
      </c>
      <c r="J66" s="379">
        <f t="shared" si="81"/>
        <v>2010883</v>
      </c>
      <c r="K66" s="379">
        <f t="shared" si="85"/>
        <v>59755215</v>
      </c>
      <c r="L66" s="379"/>
    </row>
    <row r="67" spans="6:12" s="377" customFormat="1" ht="17">
      <c r="F67" s="377">
        <v>14</v>
      </c>
      <c r="G67" s="378">
        <f t="shared" si="82"/>
        <v>15628441.567680955</v>
      </c>
      <c r="H67" s="376">
        <f t="shared" si="83"/>
        <v>1781642</v>
      </c>
      <c r="I67" s="378">
        <f t="shared" si="84"/>
        <v>0</v>
      </c>
      <c r="J67" s="379">
        <f t="shared" si="81"/>
        <v>1781642</v>
      </c>
      <c r="K67" s="379">
        <f t="shared" si="85"/>
        <v>61536857</v>
      </c>
      <c r="L67" s="379"/>
    </row>
    <row r="68" spans="6:12" s="377" customFormat="1" ht="17">
      <c r="F68" s="377">
        <v>15</v>
      </c>
      <c r="G68" s="378">
        <f t="shared" si="82"/>
        <v>13846799.567680955</v>
      </c>
      <c r="H68" s="376">
        <f t="shared" si="83"/>
        <v>1578535</v>
      </c>
      <c r="I68" s="378">
        <f t="shared" si="84"/>
        <v>1</v>
      </c>
      <c r="J68" s="379">
        <f t="shared" si="81"/>
        <v>1730849.9459601194</v>
      </c>
      <c r="K68" s="379">
        <f t="shared" si="85"/>
        <v>63267706.945960119</v>
      </c>
      <c r="L68" s="379"/>
    </row>
    <row r="69" spans="6:12" s="377" customFormat="1" ht="17">
      <c r="F69" s="377">
        <v>16</v>
      </c>
      <c r="G69" s="378">
        <f t="shared" si="82"/>
        <v>12115949.621720836</v>
      </c>
      <c r="H69" s="376">
        <f t="shared" si="83"/>
        <v>1381218</v>
      </c>
      <c r="I69" s="378">
        <f t="shared" si="84"/>
        <v>2</v>
      </c>
      <c r="J69" s="379">
        <f t="shared" si="81"/>
        <v>1730849.9459601194</v>
      </c>
      <c r="K69" s="379">
        <f t="shared" si="85"/>
        <v>64998556.891920239</v>
      </c>
      <c r="L69" s="379"/>
    </row>
    <row r="70" spans="6:12" s="377" customFormat="1" ht="17">
      <c r="F70" s="377">
        <v>17</v>
      </c>
      <c r="G70" s="378">
        <f t="shared" si="82"/>
        <v>10385099.675760716</v>
      </c>
      <c r="H70" s="376">
        <f t="shared" si="83"/>
        <v>1183901</v>
      </c>
      <c r="I70" s="378">
        <f t="shared" si="84"/>
        <v>2</v>
      </c>
      <c r="J70" s="379">
        <f t="shared" si="81"/>
        <v>1730849.9459601194</v>
      </c>
      <c r="K70" s="379">
        <f t="shared" si="85"/>
        <v>66729406.837880358</v>
      </c>
      <c r="L70" s="379"/>
    </row>
    <row r="71" spans="6:12" s="377" customFormat="1" ht="17">
      <c r="F71" s="377">
        <v>18</v>
      </c>
      <c r="G71" s="378">
        <f t="shared" si="82"/>
        <v>8654249.7298005968</v>
      </c>
      <c r="H71" s="376">
        <f t="shared" si="83"/>
        <v>986584</v>
      </c>
      <c r="I71" s="378">
        <f t="shared" si="84"/>
        <v>2</v>
      </c>
      <c r="J71" s="379">
        <f t="shared" si="81"/>
        <v>1730849.9459601194</v>
      </c>
      <c r="K71" s="379">
        <f t="shared" si="85"/>
        <v>68460256.783840477</v>
      </c>
      <c r="L71" s="379"/>
    </row>
    <row r="72" spans="6:12" s="377" customFormat="1" ht="17">
      <c r="F72" s="377">
        <v>19</v>
      </c>
      <c r="G72" s="378">
        <f>G71-J71</f>
        <v>6923399.7838404775</v>
      </c>
      <c r="H72" s="376">
        <f t="shared" si="83"/>
        <v>789267</v>
      </c>
      <c r="I72" s="378">
        <f t="shared" si="84"/>
        <v>2</v>
      </c>
      <c r="J72" s="379">
        <f t="shared" si="81"/>
        <v>1730849.9459601194</v>
      </c>
      <c r="K72" s="379">
        <f t="shared" si="85"/>
        <v>70191106.729800597</v>
      </c>
      <c r="L72" s="379"/>
    </row>
    <row r="73" spans="6:12" s="377" customFormat="1" ht="17">
      <c r="F73" s="377">
        <v>20</v>
      </c>
      <c r="G73" s="378">
        <f t="shared" si="82"/>
        <v>5192549.8378803581</v>
      </c>
      <c r="H73" s="376">
        <f t="shared" si="83"/>
        <v>591950</v>
      </c>
      <c r="I73" s="378">
        <f t="shared" si="84"/>
        <v>2</v>
      </c>
      <c r="J73" s="379">
        <f>IF(I73=2,J72,IF(I73=1,G73*$G$49,H73))</f>
        <v>1730849.9459601194</v>
      </c>
      <c r="K73" s="379">
        <f t="shared" si="85"/>
        <v>71921956.675760716</v>
      </c>
      <c r="L73" s="379"/>
    </row>
    <row r="74" spans="6:12" s="377" customFormat="1" ht="17">
      <c r="F74" s="377">
        <v>21</v>
      </c>
      <c r="G74" s="378">
        <f t="shared" si="82"/>
        <v>3461699.8919202387</v>
      </c>
      <c r="H74" s="376">
        <f t="shared" si="83"/>
        <v>394633</v>
      </c>
      <c r="I74" s="378">
        <f t="shared" si="84"/>
        <v>2</v>
      </c>
      <c r="J74" s="379">
        <f t="shared" si="81"/>
        <v>1730849.9459601194</v>
      </c>
      <c r="K74" s="379">
        <f t="shared" si="85"/>
        <v>73652806.621720836</v>
      </c>
      <c r="L74" s="379"/>
    </row>
    <row r="75" spans="6:12" s="377" customFormat="1" ht="17">
      <c r="F75" s="377">
        <v>22</v>
      </c>
      <c r="G75" s="378">
        <f t="shared" si="82"/>
        <v>1730849.9459601194</v>
      </c>
      <c r="H75" s="376">
        <f t="shared" si="83"/>
        <v>197316</v>
      </c>
      <c r="I75" s="378">
        <f>IF(I74&gt;=1,2,IF(H75&lt;$G$51,1,0))</f>
        <v>2</v>
      </c>
      <c r="J75" s="379">
        <f t="shared" si="81"/>
        <v>1730849.9459601194</v>
      </c>
      <c r="K75" s="379">
        <f t="shared" si="85"/>
        <v>75383656.567680955</v>
      </c>
      <c r="L75" s="379"/>
    </row>
    <row r="76" spans="6:12" s="377" customFormat="1" ht="17"/>
    <row r="77" spans="6:12" s="377" customFormat="1" ht="17"/>
    <row r="78" spans="6:12" s="377" customFormat="1" ht="17"/>
    <row r="79" spans="6:12" s="377" customFormat="1" ht="17">
      <c r="F79" s="271" t="s">
        <v>185</v>
      </c>
      <c r="G79" s="323">
        <f>C18</f>
        <v>38</v>
      </c>
      <c r="H79" s="323"/>
      <c r="I79" s="323"/>
      <c r="J79" s="323"/>
      <c r="K79" s="323"/>
    </row>
    <row r="80" spans="6:12" s="377" customFormat="1" ht="17">
      <c r="F80" s="271" t="s">
        <v>186</v>
      </c>
      <c r="G80" s="323">
        <f>C19</f>
        <v>6.6000000000000003E-2</v>
      </c>
      <c r="H80" s="323"/>
      <c r="I80" s="323"/>
      <c r="J80" s="323"/>
      <c r="K80" s="323"/>
    </row>
    <row r="81" spans="6:11" s="377" customFormat="1" ht="17">
      <c r="F81" s="271" t="s">
        <v>422</v>
      </c>
      <c r="G81" s="323">
        <f>C20</f>
        <v>6.7000000000000004E-2</v>
      </c>
      <c r="H81" s="323"/>
      <c r="I81" s="323"/>
      <c r="J81" s="323"/>
      <c r="K81" s="323"/>
    </row>
    <row r="82" spans="6:11" s="377" customFormat="1" ht="17">
      <c r="F82" s="271" t="s">
        <v>423</v>
      </c>
      <c r="G82" s="487">
        <f>E20</f>
        <v>1.393E-2</v>
      </c>
      <c r="H82" s="323"/>
      <c r="I82" s="323"/>
      <c r="J82" s="323"/>
      <c r="K82" s="323"/>
    </row>
    <row r="83" spans="6:11" ht="17">
      <c r="F83" s="271" t="s">
        <v>429</v>
      </c>
      <c r="G83" s="376">
        <f>+ROUNDDOWN(G86*G82,0)</f>
        <v>53484</v>
      </c>
    </row>
    <row r="84" spans="6:11" ht="17">
      <c r="F84" s="377"/>
      <c r="G84" s="377"/>
      <c r="H84" s="377"/>
      <c r="I84" s="377"/>
      <c r="J84" s="377"/>
      <c r="K84" s="377"/>
    </row>
    <row r="85" spans="6:11" ht="17">
      <c r="F85" s="377" t="s">
        <v>183</v>
      </c>
      <c r="G85" s="377" t="s">
        <v>184</v>
      </c>
      <c r="H85" s="377" t="s">
        <v>424</v>
      </c>
      <c r="I85" s="377">
        <v>0</v>
      </c>
      <c r="J85" s="377" t="s">
        <v>425</v>
      </c>
      <c r="K85" s="377" t="s">
        <v>426</v>
      </c>
    </row>
    <row r="86" spans="6:11" ht="17">
      <c r="F86" s="377">
        <v>1</v>
      </c>
      <c r="G86" s="378">
        <f>建家</f>
        <v>3839540.792764951</v>
      </c>
      <c r="H86" s="376">
        <f>+ROUNDDOWN(G86*$G$80,0)</f>
        <v>253409</v>
      </c>
      <c r="I86" s="378">
        <f>IF(I85&gt;=1,2,IF(H86&lt;$G$83,1,0))</f>
        <v>0</v>
      </c>
      <c r="J86" s="379">
        <f t="shared" ref="J86:J102" si="86">IF(I86=2,J85,IF(I86=1,G86*$G$81,H86))</f>
        <v>253409</v>
      </c>
      <c r="K86" s="379">
        <f>J86</f>
        <v>253409</v>
      </c>
    </row>
    <row r="87" spans="6:11" ht="17">
      <c r="F87" s="377">
        <v>2</v>
      </c>
      <c r="G87" s="378">
        <f>G86-J86</f>
        <v>3586131.792764951</v>
      </c>
      <c r="H87" s="376">
        <f t="shared" ref="H87:H102" si="87">+ROUNDDOWN(G87*$G$80,0)</f>
        <v>236684</v>
      </c>
      <c r="I87" s="378">
        <f t="shared" ref="I87:I102" si="88">IF(I86&gt;=1,2,IF(H87&lt;$G$83,1,0))</f>
        <v>0</v>
      </c>
      <c r="J87" s="379">
        <f t="shared" si="86"/>
        <v>236684</v>
      </c>
      <c r="K87" s="379">
        <f>J87+K86</f>
        <v>490093</v>
      </c>
    </row>
    <row r="88" spans="6:11" ht="17">
      <c r="F88" s="377">
        <v>3</v>
      </c>
      <c r="G88" s="378">
        <f>G87-J87</f>
        <v>3349447.792764951</v>
      </c>
      <c r="H88" s="376">
        <f t="shared" si="87"/>
        <v>221063</v>
      </c>
      <c r="I88" s="378">
        <f t="shared" si="88"/>
        <v>0</v>
      </c>
      <c r="J88" s="379">
        <f t="shared" si="86"/>
        <v>221063</v>
      </c>
      <c r="K88" s="379">
        <f t="shared" ref="K88:K101" si="89">J88+K87</f>
        <v>711156</v>
      </c>
    </row>
    <row r="89" spans="6:11" ht="17">
      <c r="F89" s="377">
        <v>4</v>
      </c>
      <c r="G89" s="378">
        <f t="shared" ref="G89:G102" si="90">G88-J88</f>
        <v>3128384.792764951</v>
      </c>
      <c r="H89" s="376">
        <f t="shared" si="87"/>
        <v>206473</v>
      </c>
      <c r="I89" s="378">
        <f t="shared" si="88"/>
        <v>0</v>
      </c>
      <c r="J89" s="379">
        <f>IF(I89=2,J88,IF(I89=1,G89*$G$81,H89))</f>
        <v>206473</v>
      </c>
      <c r="K89" s="379">
        <f t="shared" si="89"/>
        <v>917629</v>
      </c>
    </row>
    <row r="90" spans="6:11" ht="17">
      <c r="F90" s="377">
        <v>5</v>
      </c>
      <c r="G90" s="378">
        <f t="shared" si="90"/>
        <v>2921911.792764951</v>
      </c>
      <c r="H90" s="376">
        <f t="shared" si="87"/>
        <v>192846</v>
      </c>
      <c r="I90" s="378">
        <f t="shared" si="88"/>
        <v>0</v>
      </c>
      <c r="J90" s="379">
        <f t="shared" si="86"/>
        <v>192846</v>
      </c>
      <c r="K90" s="379">
        <f t="shared" si="89"/>
        <v>1110475</v>
      </c>
    </row>
    <row r="91" spans="6:11" ht="17">
      <c r="F91" s="377">
        <v>6</v>
      </c>
      <c r="G91" s="378">
        <f t="shared" si="90"/>
        <v>2729065.792764951</v>
      </c>
      <c r="H91" s="376">
        <f t="shared" si="87"/>
        <v>180118</v>
      </c>
      <c r="I91" s="378">
        <f t="shared" si="88"/>
        <v>0</v>
      </c>
      <c r="J91" s="379">
        <f t="shared" si="86"/>
        <v>180118</v>
      </c>
      <c r="K91" s="379">
        <f t="shared" si="89"/>
        <v>1290593</v>
      </c>
    </row>
    <row r="92" spans="6:11" ht="17">
      <c r="F92" s="377">
        <v>7</v>
      </c>
      <c r="G92" s="378">
        <f t="shared" si="90"/>
        <v>2548947.792764951</v>
      </c>
      <c r="H92" s="376">
        <f t="shared" si="87"/>
        <v>168230</v>
      </c>
      <c r="I92" s="378">
        <f t="shared" si="88"/>
        <v>0</v>
      </c>
      <c r="J92" s="379">
        <f t="shared" si="86"/>
        <v>168230</v>
      </c>
      <c r="K92" s="379">
        <f t="shared" si="89"/>
        <v>1458823</v>
      </c>
    </row>
    <row r="93" spans="6:11" ht="17">
      <c r="F93" s="377">
        <v>8</v>
      </c>
      <c r="G93" s="378">
        <f t="shared" si="90"/>
        <v>2380717.792764951</v>
      </c>
      <c r="H93" s="376">
        <f t="shared" si="87"/>
        <v>157127</v>
      </c>
      <c r="I93" s="378">
        <f t="shared" si="88"/>
        <v>0</v>
      </c>
      <c r="J93" s="379">
        <f t="shared" si="86"/>
        <v>157127</v>
      </c>
      <c r="K93" s="379">
        <f t="shared" si="89"/>
        <v>1615950</v>
      </c>
    </row>
    <row r="94" spans="6:11" ht="17">
      <c r="F94" s="377">
        <v>9</v>
      </c>
      <c r="G94" s="378">
        <f t="shared" si="90"/>
        <v>2223590.792764951</v>
      </c>
      <c r="H94" s="376">
        <f t="shared" si="87"/>
        <v>146756</v>
      </c>
      <c r="I94" s="378">
        <f t="shared" si="88"/>
        <v>0</v>
      </c>
      <c r="J94" s="379">
        <f t="shared" si="86"/>
        <v>146756</v>
      </c>
      <c r="K94" s="379">
        <f t="shared" si="89"/>
        <v>1762706</v>
      </c>
    </row>
    <row r="95" spans="6:11" ht="17">
      <c r="F95" s="377">
        <v>10</v>
      </c>
      <c r="G95" s="378">
        <f t="shared" si="90"/>
        <v>2076834.792764951</v>
      </c>
      <c r="H95" s="376">
        <f t="shared" si="87"/>
        <v>137071</v>
      </c>
      <c r="I95" s="378">
        <f t="shared" si="88"/>
        <v>0</v>
      </c>
      <c r="J95" s="379">
        <f t="shared" si="86"/>
        <v>137071</v>
      </c>
      <c r="K95" s="379">
        <f t="shared" si="89"/>
        <v>1899777</v>
      </c>
    </row>
    <row r="96" spans="6:11" ht="17">
      <c r="F96" s="377">
        <v>11</v>
      </c>
      <c r="G96" s="378">
        <f t="shared" si="90"/>
        <v>1939763.792764951</v>
      </c>
      <c r="H96" s="376">
        <f t="shared" si="87"/>
        <v>128024</v>
      </c>
      <c r="I96" s="378">
        <f t="shared" si="88"/>
        <v>0</v>
      </c>
      <c r="J96" s="379">
        <f t="shared" si="86"/>
        <v>128024</v>
      </c>
      <c r="K96" s="379">
        <f t="shared" si="89"/>
        <v>2027801</v>
      </c>
    </row>
    <row r="97" spans="6:11" ht="17">
      <c r="F97" s="377">
        <v>12</v>
      </c>
      <c r="G97" s="378">
        <f t="shared" si="90"/>
        <v>1811739.792764951</v>
      </c>
      <c r="H97" s="376">
        <f t="shared" si="87"/>
        <v>119574</v>
      </c>
      <c r="I97" s="378">
        <f t="shared" si="88"/>
        <v>0</v>
      </c>
      <c r="J97" s="379">
        <f t="shared" si="86"/>
        <v>119574</v>
      </c>
      <c r="K97" s="379">
        <f t="shared" si="89"/>
        <v>2147375</v>
      </c>
    </row>
    <row r="98" spans="6:11" ht="17">
      <c r="F98" s="377">
        <v>13</v>
      </c>
      <c r="G98" s="378">
        <f t="shared" si="90"/>
        <v>1692165.792764951</v>
      </c>
      <c r="H98" s="376">
        <f t="shared" si="87"/>
        <v>111682</v>
      </c>
      <c r="I98" s="378">
        <f t="shared" si="88"/>
        <v>0</v>
      </c>
      <c r="J98" s="379">
        <f t="shared" si="86"/>
        <v>111682</v>
      </c>
      <c r="K98" s="379">
        <f t="shared" si="89"/>
        <v>2259057</v>
      </c>
    </row>
    <row r="99" spans="6:11" ht="17">
      <c r="F99" s="377">
        <v>14</v>
      </c>
      <c r="G99" s="378">
        <f t="shared" si="90"/>
        <v>1580483.792764951</v>
      </c>
      <c r="H99" s="376">
        <f t="shared" si="87"/>
        <v>104311</v>
      </c>
      <c r="I99" s="378">
        <f t="shared" si="88"/>
        <v>0</v>
      </c>
      <c r="J99" s="379">
        <f t="shared" si="86"/>
        <v>104311</v>
      </c>
      <c r="K99" s="379">
        <f t="shared" si="89"/>
        <v>2363368</v>
      </c>
    </row>
    <row r="100" spans="6:11" ht="17">
      <c r="F100" s="377">
        <v>15</v>
      </c>
      <c r="G100" s="378">
        <f>G99-J99</f>
        <v>1476172.792764951</v>
      </c>
      <c r="H100" s="376">
        <f>+ROUNDDOWN(G100*$G$80,0)</f>
        <v>97427</v>
      </c>
      <c r="I100" s="378">
        <f t="shared" si="88"/>
        <v>0</v>
      </c>
      <c r="J100" s="379">
        <f t="shared" si="86"/>
        <v>97427</v>
      </c>
      <c r="K100" s="379">
        <f t="shared" si="89"/>
        <v>2460795</v>
      </c>
    </row>
    <row r="101" spans="6:11" ht="17">
      <c r="F101" s="377">
        <v>16</v>
      </c>
      <c r="G101" s="378">
        <f t="shared" si="90"/>
        <v>1378745.792764951</v>
      </c>
      <c r="H101" s="376">
        <f t="shared" si="87"/>
        <v>90997</v>
      </c>
      <c r="I101" s="378">
        <f t="shared" si="88"/>
        <v>0</v>
      </c>
      <c r="J101" s="379">
        <f>IF(I101=2,J100,IF(I101=1,G101*$G$81,H101))</f>
        <v>90997</v>
      </c>
      <c r="K101" s="379">
        <f t="shared" si="89"/>
        <v>2551792</v>
      </c>
    </row>
    <row r="102" spans="6:11" ht="17">
      <c r="F102" s="377">
        <v>17</v>
      </c>
      <c r="G102" s="378">
        <f t="shared" si="90"/>
        <v>1287748.792764951</v>
      </c>
      <c r="H102" s="376">
        <f t="shared" si="87"/>
        <v>84991</v>
      </c>
      <c r="I102" s="378">
        <f t="shared" si="88"/>
        <v>0</v>
      </c>
      <c r="J102" s="379">
        <f t="shared" si="86"/>
        <v>84991</v>
      </c>
      <c r="K102" s="379">
        <f>J102+K101</f>
        <v>2636783</v>
      </c>
    </row>
    <row r="103" spans="6:11" ht="17">
      <c r="F103" s="377">
        <v>18</v>
      </c>
      <c r="G103" s="378">
        <f t="shared" ref="G103:G108" si="91">G102-J102</f>
        <v>1202757.792764951</v>
      </c>
      <c r="H103" s="376">
        <f t="shared" ref="H103:H108" si="92">+ROUNDDOWN(G103*$G$80,0)</f>
        <v>79382</v>
      </c>
      <c r="I103" s="378">
        <f t="shared" ref="I103:I108" si="93">IF(I102&gt;=1,2,IF(H103&lt;$G$83,1,0))</f>
        <v>0</v>
      </c>
      <c r="J103" s="379">
        <f t="shared" ref="J103:J108" si="94">IF(I103=2,J102,IF(I103=1,G103*$G$81,H103))</f>
        <v>79382</v>
      </c>
      <c r="K103" s="379">
        <f t="shared" ref="K103:K108" si="95">J103+K102</f>
        <v>2716165</v>
      </c>
    </row>
    <row r="104" spans="6:11" ht="17">
      <c r="F104" s="377">
        <v>19</v>
      </c>
      <c r="G104" s="378">
        <f t="shared" si="91"/>
        <v>1123375.792764951</v>
      </c>
      <c r="H104" s="376">
        <f t="shared" si="92"/>
        <v>74142</v>
      </c>
      <c r="I104" s="378">
        <f t="shared" si="93"/>
        <v>0</v>
      </c>
      <c r="J104" s="379">
        <f t="shared" si="94"/>
        <v>74142</v>
      </c>
      <c r="K104" s="379">
        <f t="shared" si="95"/>
        <v>2790307</v>
      </c>
    </row>
    <row r="105" spans="6:11" ht="17">
      <c r="F105" s="377">
        <v>20</v>
      </c>
      <c r="G105" s="378">
        <f t="shared" si="91"/>
        <v>1049233.792764951</v>
      </c>
      <c r="H105" s="376">
        <f t="shared" si="92"/>
        <v>69249</v>
      </c>
      <c r="I105" s="378">
        <f t="shared" si="93"/>
        <v>0</v>
      </c>
      <c r="J105" s="379">
        <f t="shared" si="94"/>
        <v>69249</v>
      </c>
      <c r="K105" s="379">
        <f t="shared" si="95"/>
        <v>2859556</v>
      </c>
    </row>
    <row r="106" spans="6:11" ht="17">
      <c r="F106" s="377">
        <v>21</v>
      </c>
      <c r="G106" s="378">
        <f t="shared" si="91"/>
        <v>979984.79276495101</v>
      </c>
      <c r="H106" s="376">
        <f t="shared" si="92"/>
        <v>64678</v>
      </c>
      <c r="I106" s="378">
        <f t="shared" si="93"/>
        <v>0</v>
      </c>
      <c r="J106" s="379">
        <f t="shared" si="94"/>
        <v>64678</v>
      </c>
      <c r="K106" s="379">
        <f t="shared" si="95"/>
        <v>2924234</v>
      </c>
    </row>
    <row r="107" spans="6:11" ht="17">
      <c r="F107" s="377">
        <v>22</v>
      </c>
      <c r="G107" s="378">
        <f t="shared" si="91"/>
        <v>915306.79276495101</v>
      </c>
      <c r="H107" s="376">
        <f t="shared" si="92"/>
        <v>60410</v>
      </c>
      <c r="I107" s="378">
        <f t="shared" si="93"/>
        <v>0</v>
      </c>
      <c r="J107" s="379">
        <f t="shared" si="94"/>
        <v>60410</v>
      </c>
      <c r="K107" s="379">
        <f t="shared" si="95"/>
        <v>2984644</v>
      </c>
    </row>
    <row r="108" spans="6:11" ht="17">
      <c r="F108" s="377">
        <v>23</v>
      </c>
      <c r="G108" s="378">
        <f t="shared" si="91"/>
        <v>854896.79276495101</v>
      </c>
      <c r="H108" s="376">
        <f t="shared" si="92"/>
        <v>56423</v>
      </c>
      <c r="I108" s="378">
        <f t="shared" si="93"/>
        <v>0</v>
      </c>
      <c r="J108" s="379">
        <f t="shared" si="94"/>
        <v>56423</v>
      </c>
      <c r="K108" s="379">
        <f t="shared" si="95"/>
        <v>3041067</v>
      </c>
    </row>
    <row r="109" spans="6:11" ht="17">
      <c r="F109" s="377">
        <v>24</v>
      </c>
      <c r="G109" s="378">
        <f t="shared" ref="G109:G123" si="96">G108-J108</f>
        <v>798473.79276495101</v>
      </c>
      <c r="H109" s="376">
        <f t="shared" ref="H109:H123" si="97">+ROUNDDOWN(G109*$G$80,0)</f>
        <v>52699</v>
      </c>
      <c r="I109" s="378">
        <f t="shared" ref="I109:I123" si="98">IF(I108&gt;=1,2,IF(H109&lt;$G$83,1,0))</f>
        <v>1</v>
      </c>
      <c r="J109" s="379">
        <f>IF(I109=2,J108,IF(I109=1,G109*$G$81,H109))</f>
        <v>53497.74411525172</v>
      </c>
      <c r="K109" s="379">
        <f t="shared" ref="K109:K123" si="99">J109+K108</f>
        <v>3094564.7441152516</v>
      </c>
    </row>
    <row r="110" spans="6:11" ht="17">
      <c r="F110" s="377">
        <v>25</v>
      </c>
      <c r="G110" s="378">
        <f t="shared" si="96"/>
        <v>744976.04864969931</v>
      </c>
      <c r="H110" s="376">
        <f t="shared" si="97"/>
        <v>49168</v>
      </c>
      <c r="I110" s="378">
        <f t="shared" si="98"/>
        <v>2</v>
      </c>
      <c r="J110" s="379">
        <f>IF(I110=2,J109,IF(I110=1,G110*$G$81,H110))</f>
        <v>53497.74411525172</v>
      </c>
      <c r="K110" s="379">
        <f t="shared" si="99"/>
        <v>3148062.4882305032</v>
      </c>
    </row>
    <row r="111" spans="6:11" ht="17">
      <c r="F111" s="377">
        <v>26</v>
      </c>
      <c r="G111" s="378">
        <f t="shared" si="96"/>
        <v>691478.30453444761</v>
      </c>
      <c r="H111" s="376">
        <f t="shared" si="97"/>
        <v>45637</v>
      </c>
      <c r="I111" s="378">
        <f t="shared" si="98"/>
        <v>2</v>
      </c>
      <c r="J111" s="379">
        <f t="shared" ref="J111:J123" si="100">IF(I111=2,J110,IF(I111=1,G111*$G$81,H111))</f>
        <v>53497.74411525172</v>
      </c>
      <c r="K111" s="379">
        <f t="shared" si="99"/>
        <v>3201560.2323457547</v>
      </c>
    </row>
    <row r="112" spans="6:11" ht="17">
      <c r="F112" s="377">
        <v>27</v>
      </c>
      <c r="G112" s="378">
        <f t="shared" si="96"/>
        <v>637980.56041919591</v>
      </c>
      <c r="H112" s="376">
        <f t="shared" si="97"/>
        <v>42106</v>
      </c>
      <c r="I112" s="378">
        <f t="shared" si="98"/>
        <v>2</v>
      </c>
      <c r="J112" s="379">
        <f t="shared" si="100"/>
        <v>53497.74411525172</v>
      </c>
      <c r="K112" s="379">
        <f t="shared" si="99"/>
        <v>3255057.9764610063</v>
      </c>
    </row>
    <row r="113" spans="6:11" ht="17">
      <c r="F113" s="377">
        <v>28</v>
      </c>
      <c r="G113" s="378">
        <f t="shared" si="96"/>
        <v>584482.81630394422</v>
      </c>
      <c r="H113" s="376">
        <f t="shared" si="97"/>
        <v>38575</v>
      </c>
      <c r="I113" s="378">
        <f t="shared" si="98"/>
        <v>2</v>
      </c>
      <c r="J113" s="379">
        <f t="shared" si="100"/>
        <v>53497.74411525172</v>
      </c>
      <c r="K113" s="379">
        <f t="shared" si="99"/>
        <v>3308555.7205762579</v>
      </c>
    </row>
    <row r="114" spans="6:11" ht="17">
      <c r="F114" s="377">
        <v>29</v>
      </c>
      <c r="G114" s="378">
        <f t="shared" si="96"/>
        <v>530985.07218869252</v>
      </c>
      <c r="H114" s="376">
        <f t="shared" si="97"/>
        <v>35045</v>
      </c>
      <c r="I114" s="378">
        <f t="shared" si="98"/>
        <v>2</v>
      </c>
      <c r="J114" s="379">
        <f t="shared" si="100"/>
        <v>53497.74411525172</v>
      </c>
      <c r="K114" s="379">
        <f t="shared" si="99"/>
        <v>3362053.4646915095</v>
      </c>
    </row>
    <row r="115" spans="6:11" ht="17">
      <c r="F115" s="377">
        <v>30</v>
      </c>
      <c r="G115" s="378">
        <f t="shared" si="96"/>
        <v>477487.32807344082</v>
      </c>
      <c r="H115" s="376">
        <f t="shared" si="97"/>
        <v>31514</v>
      </c>
      <c r="I115" s="378">
        <f t="shared" si="98"/>
        <v>2</v>
      </c>
      <c r="J115" s="379">
        <f t="shared" si="100"/>
        <v>53497.74411525172</v>
      </c>
      <c r="K115" s="379">
        <f t="shared" si="99"/>
        <v>3415551.2088067611</v>
      </c>
    </row>
    <row r="116" spans="6:11" ht="17">
      <c r="F116" s="377">
        <v>31</v>
      </c>
      <c r="G116" s="378">
        <f t="shared" si="96"/>
        <v>423989.58395818912</v>
      </c>
      <c r="H116" s="376">
        <f t="shared" si="97"/>
        <v>27983</v>
      </c>
      <c r="I116" s="378">
        <f t="shared" si="98"/>
        <v>2</v>
      </c>
      <c r="J116" s="379">
        <f t="shared" si="100"/>
        <v>53497.74411525172</v>
      </c>
      <c r="K116" s="379">
        <f t="shared" si="99"/>
        <v>3469048.9529220127</v>
      </c>
    </row>
    <row r="117" spans="6:11" ht="17">
      <c r="F117" s="377">
        <v>32</v>
      </c>
      <c r="G117" s="378">
        <f t="shared" si="96"/>
        <v>370491.83984293742</v>
      </c>
      <c r="H117" s="376">
        <f t="shared" si="97"/>
        <v>24452</v>
      </c>
      <c r="I117" s="378">
        <f t="shared" si="98"/>
        <v>2</v>
      </c>
      <c r="J117" s="379">
        <f t="shared" si="100"/>
        <v>53497.74411525172</v>
      </c>
      <c r="K117" s="379">
        <f t="shared" si="99"/>
        <v>3522546.6970372642</v>
      </c>
    </row>
    <row r="118" spans="6:11" ht="17">
      <c r="F118" s="377">
        <v>33</v>
      </c>
      <c r="G118" s="378">
        <f t="shared" si="96"/>
        <v>316994.09572768572</v>
      </c>
      <c r="H118" s="376">
        <f t="shared" si="97"/>
        <v>20921</v>
      </c>
      <c r="I118" s="378">
        <f t="shared" si="98"/>
        <v>2</v>
      </c>
      <c r="J118" s="379">
        <f t="shared" si="100"/>
        <v>53497.74411525172</v>
      </c>
      <c r="K118" s="379">
        <f t="shared" si="99"/>
        <v>3576044.4411525158</v>
      </c>
    </row>
    <row r="119" spans="6:11" ht="17">
      <c r="F119" s="377">
        <v>34</v>
      </c>
      <c r="G119" s="378">
        <f t="shared" si="96"/>
        <v>263496.35161243402</v>
      </c>
      <c r="H119" s="376">
        <f t="shared" si="97"/>
        <v>17390</v>
      </c>
      <c r="I119" s="378">
        <f t="shared" si="98"/>
        <v>2</v>
      </c>
      <c r="J119" s="379">
        <f t="shared" si="100"/>
        <v>53497.74411525172</v>
      </c>
      <c r="K119" s="379">
        <f t="shared" si="99"/>
        <v>3629542.1852677674</v>
      </c>
    </row>
    <row r="120" spans="6:11" ht="17">
      <c r="F120" s="377">
        <v>35</v>
      </c>
      <c r="G120" s="378">
        <f t="shared" si="96"/>
        <v>209998.6074971823</v>
      </c>
      <c r="H120" s="376">
        <f t="shared" si="97"/>
        <v>13859</v>
      </c>
      <c r="I120" s="378">
        <f t="shared" si="98"/>
        <v>2</v>
      </c>
      <c r="J120" s="379">
        <f t="shared" si="100"/>
        <v>53497.74411525172</v>
      </c>
      <c r="K120" s="379">
        <f t="shared" si="99"/>
        <v>3683039.929383019</v>
      </c>
    </row>
    <row r="121" spans="6:11" ht="17">
      <c r="F121" s="377">
        <v>36</v>
      </c>
      <c r="G121" s="378">
        <f t="shared" si="96"/>
        <v>156500.86338193057</v>
      </c>
      <c r="H121" s="376">
        <f t="shared" si="97"/>
        <v>10329</v>
      </c>
      <c r="I121" s="378">
        <f t="shared" si="98"/>
        <v>2</v>
      </c>
      <c r="J121" s="379">
        <f t="shared" si="100"/>
        <v>53497.74411525172</v>
      </c>
      <c r="K121" s="379">
        <f t="shared" si="99"/>
        <v>3736537.6734982706</v>
      </c>
    </row>
    <row r="122" spans="6:11" ht="17">
      <c r="F122" s="377">
        <v>37</v>
      </c>
      <c r="G122" s="378">
        <f t="shared" si="96"/>
        <v>103003.11926667884</v>
      </c>
      <c r="H122" s="376">
        <f t="shared" si="97"/>
        <v>6798</v>
      </c>
      <c r="I122" s="378">
        <f t="shared" si="98"/>
        <v>2</v>
      </c>
      <c r="J122" s="379">
        <f t="shared" si="100"/>
        <v>53497.74411525172</v>
      </c>
      <c r="K122" s="379">
        <f t="shared" si="99"/>
        <v>3790035.4176135221</v>
      </c>
    </row>
    <row r="123" spans="6:11" ht="17">
      <c r="F123" s="377">
        <v>38</v>
      </c>
      <c r="G123" s="378">
        <f t="shared" si="96"/>
        <v>49505.375151427121</v>
      </c>
      <c r="H123" s="376">
        <f t="shared" si="97"/>
        <v>3267</v>
      </c>
      <c r="I123" s="378">
        <f t="shared" si="98"/>
        <v>2</v>
      </c>
      <c r="J123" s="379">
        <f t="shared" si="100"/>
        <v>53497.74411525172</v>
      </c>
      <c r="K123" s="379">
        <f t="shared" si="99"/>
        <v>3843533.1617287737</v>
      </c>
    </row>
  </sheetData>
  <sheetProtection password="C6F4" sheet="1" objects="1" scenarios="1"/>
  <phoneticPr fontId="6"/>
  <pageMargins left="0.39763779527559057" right="0.39763779527559057" top="0.39763779527559057" bottom="0.39763779527559057" header="0.51181102362204722" footer="0.51181102362204722"/>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U43"/>
  <sheetViews>
    <sheetView showGridLines="0" topLeftCell="A15" zoomScale="85" zoomScaleNormal="85" zoomScalePageLayoutView="85" workbookViewId="0">
      <selection activeCell="C7" sqref="C7"/>
    </sheetView>
  </sheetViews>
  <sheetFormatPr baseColWidth="12" defaultColWidth="15.59765625" defaultRowHeight="17" x14ac:dyDescent="0"/>
  <cols>
    <col min="1" max="1" width="13" style="85" customWidth="1"/>
    <col min="2" max="2" width="15.19921875" style="85" customWidth="1"/>
    <col min="3" max="3" width="26" style="85" customWidth="1"/>
    <col min="4" max="4" width="20.19921875" style="85" customWidth="1"/>
    <col min="5" max="5" width="21" style="85" customWidth="1"/>
    <col min="6" max="11" width="15.59765625" style="85"/>
    <col min="12" max="12" width="17.59765625" style="85" bestFit="1" customWidth="1"/>
    <col min="13" max="16384" width="15.59765625" style="85"/>
  </cols>
  <sheetData>
    <row r="1" spans="1:11" hidden="1">
      <c r="A1" s="84" t="s">
        <v>225</v>
      </c>
      <c r="B1" s="85" t="s">
        <v>117</v>
      </c>
      <c r="C1" s="84" t="s">
        <v>240</v>
      </c>
    </row>
    <row r="2" spans="1:11" hidden="1"/>
    <row r="3" spans="1:11" s="84" customFormat="1" ht="18" hidden="1" thickBot="1">
      <c r="A3" s="104" t="s">
        <v>116</v>
      </c>
      <c r="B3" s="105"/>
    </row>
    <row r="4" spans="1:11" s="84" customFormat="1" hidden="1">
      <c r="A4" s="84" t="s">
        <v>131</v>
      </c>
      <c r="B4" s="84" t="s">
        <v>115</v>
      </c>
      <c r="D4" s="88">
        <v>3000</v>
      </c>
      <c r="E4" s="84" t="s">
        <v>114</v>
      </c>
    </row>
    <row r="5" spans="1:11" s="84" customFormat="1" hidden="1">
      <c r="A5" s="84" t="s">
        <v>130</v>
      </c>
      <c r="B5" s="84" t="s">
        <v>235</v>
      </c>
      <c r="D5" s="88">
        <v>200000</v>
      </c>
      <c r="E5" s="84" t="s">
        <v>114</v>
      </c>
    </row>
    <row r="6" spans="1:11" s="84" customFormat="1" hidden="1">
      <c r="B6" s="84" t="s">
        <v>77</v>
      </c>
      <c r="D6" s="88">
        <v>300000</v>
      </c>
      <c r="E6" s="84" t="s">
        <v>114</v>
      </c>
    </row>
    <row r="7" spans="1:11" s="84" customFormat="1" hidden="1">
      <c r="B7" s="84" t="s">
        <v>239</v>
      </c>
      <c r="D7" s="88"/>
    </row>
    <row r="8" spans="1:11" s="84" customFormat="1" hidden="1">
      <c r="A8" s="84" t="s">
        <v>103</v>
      </c>
      <c r="B8" s="84" t="s">
        <v>103</v>
      </c>
      <c r="D8" s="88">
        <v>2000</v>
      </c>
      <c r="E8" s="84" t="s">
        <v>113</v>
      </c>
    </row>
    <row r="9" spans="1:11" s="84" customFormat="1" hidden="1">
      <c r="A9" s="84" t="s">
        <v>102</v>
      </c>
      <c r="B9" s="84" t="s">
        <v>102</v>
      </c>
      <c r="D9" s="88">
        <v>10000</v>
      </c>
      <c r="E9" s="84" t="s">
        <v>113</v>
      </c>
    </row>
    <row r="10" spans="1:11" s="84" customFormat="1" hidden="1">
      <c r="A10" s="84" t="s">
        <v>112</v>
      </c>
      <c r="B10" s="84" t="s">
        <v>112</v>
      </c>
      <c r="D10" s="88"/>
    </row>
    <row r="11" spans="1:11" s="84" customFormat="1" hidden="1">
      <c r="B11" s="84" t="s">
        <v>70</v>
      </c>
      <c r="D11" s="88">
        <v>120000</v>
      </c>
      <c r="E11" s="84" t="s">
        <v>141</v>
      </c>
    </row>
    <row r="12" spans="1:11" s="84" customFormat="1" hidden="1">
      <c r="B12" s="84" t="s">
        <v>151</v>
      </c>
      <c r="D12" s="88">
        <v>50000</v>
      </c>
      <c r="E12" s="84" t="s">
        <v>141</v>
      </c>
    </row>
    <row r="13" spans="1:11" s="84" customFormat="1" hidden="1">
      <c r="A13" s="84" t="s">
        <v>244</v>
      </c>
      <c r="D13" s="88">
        <v>2000</v>
      </c>
      <c r="E13" s="84" t="s">
        <v>245</v>
      </c>
    </row>
    <row r="14" spans="1:11" s="84" customFormat="1" ht="16" hidden="1" customHeight="1">
      <c r="A14" s="84" t="s">
        <v>178</v>
      </c>
      <c r="D14" s="106">
        <f>設置サイト数</f>
        <v>1</v>
      </c>
      <c r="E14" s="84" t="s">
        <v>179</v>
      </c>
      <c r="J14" s="107"/>
      <c r="K14" s="107"/>
    </row>
    <row r="15" spans="1:11" ht="45" customHeight="1" thickBot="1">
      <c r="A15" s="86" t="s">
        <v>234</v>
      </c>
      <c r="D15" s="87"/>
    </row>
    <row r="16" spans="1:11">
      <c r="A16" s="428" t="s">
        <v>46</v>
      </c>
      <c r="B16" s="429"/>
      <c r="C16" s="85">
        <f>設置容量</f>
        <v>100</v>
      </c>
      <c r="D16" s="88" t="s">
        <v>181</v>
      </c>
    </row>
    <row r="17" spans="1:12">
      <c r="A17" s="430"/>
      <c r="B17" s="552" t="s">
        <v>140</v>
      </c>
      <c r="C17" s="553"/>
      <c r="D17" s="553"/>
      <c r="E17" s="554"/>
      <c r="F17" s="555" t="s">
        <v>139</v>
      </c>
      <c r="G17" s="555"/>
      <c r="H17" s="555"/>
      <c r="I17" s="555"/>
      <c r="J17" s="555"/>
      <c r="K17" s="555"/>
      <c r="L17" s="556"/>
    </row>
    <row r="18" spans="1:12" ht="18" thickBot="1">
      <c r="A18" s="431" t="s">
        <v>37</v>
      </c>
      <c r="B18" s="522" t="s">
        <v>138</v>
      </c>
      <c r="C18" s="520" t="s">
        <v>236</v>
      </c>
      <c r="D18" s="520" t="s">
        <v>237</v>
      </c>
      <c r="E18" s="521" t="s">
        <v>238</v>
      </c>
      <c r="F18" s="90" t="s">
        <v>131</v>
      </c>
      <c r="G18" s="90" t="s">
        <v>130</v>
      </c>
      <c r="H18" s="90" t="s">
        <v>103</v>
      </c>
      <c r="I18" s="90"/>
      <c r="J18" s="494"/>
      <c r="K18" s="91"/>
      <c r="L18" s="89" t="s">
        <v>101</v>
      </c>
    </row>
    <row r="19" spans="1:12" ht="18" thickTop="1">
      <c r="A19" s="432">
        <v>1</v>
      </c>
      <c r="B19" s="389">
        <v>1</v>
      </c>
      <c r="C19" s="390"/>
      <c r="D19" s="390"/>
      <c r="E19" s="391"/>
      <c r="F19" s="95">
        <f t="shared" ref="F19:F38" si="0">B19*点検人件費*設置サイト数*365</f>
        <v>1095000</v>
      </c>
      <c r="G19" s="92"/>
      <c r="H19" s="95">
        <f t="shared" ref="H19:H38" si="1">B19*交通費*設置サイト数*365</f>
        <v>730000</v>
      </c>
      <c r="I19" s="95"/>
      <c r="J19" s="93"/>
      <c r="K19" s="94"/>
      <c r="L19" s="433">
        <f>SUM(F19:J19)</f>
        <v>1825000</v>
      </c>
    </row>
    <row r="20" spans="1:12">
      <c r="A20" s="432">
        <f t="shared" ref="A20:A36" si="2">A19+1</f>
        <v>2</v>
      </c>
      <c r="B20" s="389">
        <v>1</v>
      </c>
      <c r="C20" s="390"/>
      <c r="D20" s="390"/>
      <c r="E20" s="391"/>
      <c r="F20" s="95">
        <f t="shared" si="0"/>
        <v>1095000</v>
      </c>
      <c r="G20" s="92"/>
      <c r="H20" s="95">
        <f t="shared" si="1"/>
        <v>730000</v>
      </c>
      <c r="I20" s="95"/>
      <c r="J20" s="93"/>
      <c r="K20" s="94"/>
      <c r="L20" s="433">
        <f t="shared" ref="L20:L39" si="3">SUM(F20:J20)</f>
        <v>1825000</v>
      </c>
    </row>
    <row r="21" spans="1:12">
      <c r="A21" s="432">
        <f t="shared" si="2"/>
        <v>3</v>
      </c>
      <c r="B21" s="389">
        <v>1</v>
      </c>
      <c r="C21" s="390"/>
      <c r="D21" s="390"/>
      <c r="E21" s="391"/>
      <c r="F21" s="95">
        <f t="shared" si="0"/>
        <v>1095000</v>
      </c>
      <c r="G21" s="92"/>
      <c r="H21" s="95">
        <f t="shared" si="1"/>
        <v>730000</v>
      </c>
      <c r="I21" s="92"/>
      <c r="J21" s="93"/>
      <c r="K21" s="94"/>
      <c r="L21" s="433">
        <f t="shared" si="3"/>
        <v>1825000</v>
      </c>
    </row>
    <row r="22" spans="1:12">
      <c r="A22" s="432">
        <f t="shared" si="2"/>
        <v>4</v>
      </c>
      <c r="B22" s="389">
        <v>1</v>
      </c>
      <c r="C22" s="390"/>
      <c r="D22" s="392">
        <v>0.3</v>
      </c>
      <c r="E22" s="391"/>
      <c r="F22" s="95">
        <f t="shared" si="0"/>
        <v>1095000</v>
      </c>
      <c r="G22" s="434">
        <f>(C22*電気工事外注費+D22*水車部品交換工事外注費+E22*電気工事外注費)*設置サイト数</f>
        <v>60000</v>
      </c>
      <c r="H22" s="95">
        <f t="shared" si="1"/>
        <v>730000</v>
      </c>
      <c r="I22" s="95"/>
      <c r="J22" s="93"/>
      <c r="K22" s="94"/>
      <c r="L22" s="433">
        <f>SUM(F22:J22)</f>
        <v>1885000</v>
      </c>
    </row>
    <row r="23" spans="1:12">
      <c r="A23" s="432">
        <f t="shared" si="2"/>
        <v>5</v>
      </c>
      <c r="B23" s="389">
        <v>1</v>
      </c>
      <c r="C23" s="392">
        <v>0.5</v>
      </c>
      <c r="D23" s="390"/>
      <c r="E23" s="391"/>
      <c r="F23" s="95">
        <f t="shared" si="0"/>
        <v>1095000</v>
      </c>
      <c r="G23" s="92"/>
      <c r="H23" s="95">
        <f t="shared" si="1"/>
        <v>730000</v>
      </c>
      <c r="I23" s="92"/>
      <c r="J23" s="93"/>
      <c r="K23" s="94"/>
      <c r="L23" s="433">
        <f t="shared" si="3"/>
        <v>1825000</v>
      </c>
    </row>
    <row r="24" spans="1:12">
      <c r="A24" s="435">
        <f t="shared" si="2"/>
        <v>6</v>
      </c>
      <c r="B24" s="393">
        <v>1</v>
      </c>
      <c r="C24" s="394"/>
      <c r="D24" s="395">
        <v>0.3</v>
      </c>
      <c r="E24" s="396"/>
      <c r="F24" s="97">
        <f t="shared" si="0"/>
        <v>1095000</v>
      </c>
      <c r="G24" s="97">
        <f>(C24*電気工事外注費+D24*水車部品交換工事外注費+E24*電気工事外注費)*設置サイト数</f>
        <v>60000</v>
      </c>
      <c r="H24" s="97">
        <f t="shared" si="1"/>
        <v>730000</v>
      </c>
      <c r="I24" s="97"/>
      <c r="J24" s="495"/>
      <c r="K24" s="98"/>
      <c r="L24" s="436">
        <f t="shared" si="3"/>
        <v>1885000</v>
      </c>
    </row>
    <row r="25" spans="1:12">
      <c r="A25" s="432">
        <f t="shared" si="2"/>
        <v>7</v>
      </c>
      <c r="B25" s="389">
        <v>1</v>
      </c>
      <c r="C25" s="390"/>
      <c r="D25" s="390"/>
      <c r="E25" s="391"/>
      <c r="F25" s="95">
        <f t="shared" si="0"/>
        <v>1095000</v>
      </c>
      <c r="G25" s="92"/>
      <c r="H25" s="95">
        <f t="shared" si="1"/>
        <v>730000</v>
      </c>
      <c r="I25" s="92"/>
      <c r="J25" s="93"/>
      <c r="K25" s="94"/>
      <c r="L25" s="433">
        <f t="shared" si="3"/>
        <v>1825000</v>
      </c>
    </row>
    <row r="26" spans="1:12">
      <c r="A26" s="432">
        <f t="shared" si="2"/>
        <v>8</v>
      </c>
      <c r="B26" s="389">
        <v>1</v>
      </c>
      <c r="C26" s="390"/>
      <c r="D26" s="392">
        <v>0.3</v>
      </c>
      <c r="E26" s="391"/>
      <c r="F26" s="95">
        <f t="shared" si="0"/>
        <v>1095000</v>
      </c>
      <c r="G26" s="95">
        <f>(C26*電気工事外注費+D26*水車部品交換工事外注費+E26*電気工事外注費)*設置サイト数</f>
        <v>60000</v>
      </c>
      <c r="H26" s="95">
        <f t="shared" si="1"/>
        <v>730000</v>
      </c>
      <c r="I26" s="95"/>
      <c r="J26" s="93"/>
      <c r="K26" s="94"/>
      <c r="L26" s="433">
        <f t="shared" si="3"/>
        <v>1885000</v>
      </c>
    </row>
    <row r="27" spans="1:12">
      <c r="A27" s="432">
        <f t="shared" si="2"/>
        <v>9</v>
      </c>
      <c r="B27" s="389">
        <v>1</v>
      </c>
      <c r="C27" s="390"/>
      <c r="D27" s="390"/>
      <c r="E27" s="391"/>
      <c r="F27" s="95">
        <f t="shared" si="0"/>
        <v>1095000</v>
      </c>
      <c r="G27" s="92"/>
      <c r="H27" s="95">
        <f t="shared" si="1"/>
        <v>730000</v>
      </c>
      <c r="I27" s="92"/>
      <c r="J27" s="93"/>
      <c r="K27" s="94"/>
      <c r="L27" s="433">
        <f t="shared" si="3"/>
        <v>1825000</v>
      </c>
    </row>
    <row r="28" spans="1:12">
      <c r="A28" s="437">
        <f t="shared" si="2"/>
        <v>10</v>
      </c>
      <c r="B28" s="397">
        <v>1</v>
      </c>
      <c r="C28" s="398">
        <v>0.5</v>
      </c>
      <c r="D28" s="398">
        <v>0.3</v>
      </c>
      <c r="E28" s="399">
        <v>1</v>
      </c>
      <c r="F28" s="99">
        <f t="shared" si="0"/>
        <v>1095000</v>
      </c>
      <c r="G28" s="99">
        <f>(C28*電気工事外注費+D28*水車部品交換工事外注費+E28*電気工事外注費)*設置サイト数</f>
        <v>510000</v>
      </c>
      <c r="H28" s="99">
        <f>B28*交通費*設置サイト数*365</f>
        <v>730000</v>
      </c>
      <c r="I28" s="99"/>
      <c r="J28" s="496"/>
      <c r="K28" s="100"/>
      <c r="L28" s="438">
        <f t="shared" si="3"/>
        <v>2335000</v>
      </c>
    </row>
    <row r="29" spans="1:12">
      <c r="A29" s="435">
        <f t="shared" si="2"/>
        <v>11</v>
      </c>
      <c r="B29" s="393">
        <v>1</v>
      </c>
      <c r="C29" s="395"/>
      <c r="D29" s="394"/>
      <c r="E29" s="396"/>
      <c r="F29" s="97">
        <f t="shared" si="0"/>
        <v>1095000</v>
      </c>
      <c r="G29" s="97"/>
      <c r="H29" s="97">
        <f t="shared" si="1"/>
        <v>730000</v>
      </c>
      <c r="I29" s="96"/>
      <c r="J29" s="495"/>
      <c r="K29" s="98"/>
      <c r="L29" s="436">
        <f t="shared" si="3"/>
        <v>1825000</v>
      </c>
    </row>
    <row r="30" spans="1:12">
      <c r="A30" s="432">
        <f t="shared" si="2"/>
        <v>12</v>
      </c>
      <c r="B30" s="389">
        <v>1</v>
      </c>
      <c r="C30" s="392"/>
      <c r="D30" s="392">
        <v>0.3</v>
      </c>
      <c r="E30" s="391"/>
      <c r="F30" s="95">
        <f t="shared" si="0"/>
        <v>1095000</v>
      </c>
      <c r="G30" s="95">
        <f>(C30*電気工事外注費+D30*水車部品交換工事外注費+E30*電気工事外注費)*設置サイト数</f>
        <v>60000</v>
      </c>
      <c r="H30" s="95">
        <f t="shared" si="1"/>
        <v>730000</v>
      </c>
      <c r="I30" s="95"/>
      <c r="J30" s="93"/>
      <c r="K30" s="94"/>
      <c r="L30" s="433">
        <f t="shared" si="3"/>
        <v>1885000</v>
      </c>
    </row>
    <row r="31" spans="1:12">
      <c r="A31" s="432">
        <f t="shared" si="2"/>
        <v>13</v>
      </c>
      <c r="B31" s="389">
        <v>1</v>
      </c>
      <c r="C31" s="392"/>
      <c r="D31" s="390"/>
      <c r="E31" s="391"/>
      <c r="F31" s="95">
        <f t="shared" si="0"/>
        <v>1095000</v>
      </c>
      <c r="G31" s="95"/>
      <c r="H31" s="95">
        <f t="shared" si="1"/>
        <v>730000</v>
      </c>
      <c r="I31" s="92"/>
      <c r="J31" s="93"/>
      <c r="K31" s="94"/>
      <c r="L31" s="433">
        <f t="shared" si="3"/>
        <v>1825000</v>
      </c>
    </row>
    <row r="32" spans="1:12">
      <c r="A32" s="432">
        <f t="shared" si="2"/>
        <v>14</v>
      </c>
      <c r="B32" s="389">
        <v>1</v>
      </c>
      <c r="C32" s="392"/>
      <c r="D32" s="392">
        <v>0.3</v>
      </c>
      <c r="E32" s="391"/>
      <c r="F32" s="95">
        <f t="shared" si="0"/>
        <v>1095000</v>
      </c>
      <c r="G32" s="95">
        <f>(C32*電気工事外注費+D32*水車部品交換工事外注費+E32*電気工事外注費)*設置サイト数</f>
        <v>60000</v>
      </c>
      <c r="H32" s="95">
        <f t="shared" si="1"/>
        <v>730000</v>
      </c>
      <c r="I32" s="95"/>
      <c r="J32" s="93"/>
      <c r="K32" s="94"/>
      <c r="L32" s="433">
        <f t="shared" si="3"/>
        <v>1885000</v>
      </c>
    </row>
    <row r="33" spans="1:21">
      <c r="A33" s="437">
        <f t="shared" si="2"/>
        <v>15</v>
      </c>
      <c r="B33" s="397">
        <v>1</v>
      </c>
      <c r="C33" s="398">
        <v>0.5</v>
      </c>
      <c r="D33" s="398"/>
      <c r="E33" s="400"/>
      <c r="F33" s="99">
        <f t="shared" si="0"/>
        <v>1095000</v>
      </c>
      <c r="G33" s="99">
        <f>(C33*電気工事外注費+D33*水車部品交換工事外注費+E33*電気工事外注費)*設置サイト数</f>
        <v>150000</v>
      </c>
      <c r="H33" s="99">
        <f t="shared" si="1"/>
        <v>730000</v>
      </c>
      <c r="I33" s="99"/>
      <c r="J33" s="496"/>
      <c r="K33" s="100"/>
      <c r="L33" s="438">
        <f t="shared" si="3"/>
        <v>1975000</v>
      </c>
    </row>
    <row r="34" spans="1:21">
      <c r="A34" s="432">
        <f t="shared" si="2"/>
        <v>16</v>
      </c>
      <c r="B34" s="389">
        <v>1</v>
      </c>
      <c r="C34" s="390"/>
      <c r="D34" s="392">
        <v>0.3</v>
      </c>
      <c r="E34" s="391"/>
      <c r="F34" s="95">
        <f t="shared" si="0"/>
        <v>1095000</v>
      </c>
      <c r="G34" s="95">
        <f>(C34*電気工事外注費+D34*水車部品交換工事外注費+E34*電気工事外注費)*設置サイト数</f>
        <v>60000</v>
      </c>
      <c r="H34" s="95">
        <f t="shared" si="1"/>
        <v>730000</v>
      </c>
      <c r="I34" s="95"/>
      <c r="J34" s="93"/>
      <c r="K34" s="94"/>
      <c r="L34" s="433">
        <f t="shared" si="3"/>
        <v>1885000</v>
      </c>
    </row>
    <row r="35" spans="1:21">
      <c r="A35" s="432">
        <f t="shared" si="2"/>
        <v>17</v>
      </c>
      <c r="B35" s="389">
        <v>1</v>
      </c>
      <c r="C35" s="390"/>
      <c r="D35" s="392"/>
      <c r="E35" s="391"/>
      <c r="F35" s="95">
        <f t="shared" si="0"/>
        <v>1095000</v>
      </c>
      <c r="G35" s="95"/>
      <c r="H35" s="95">
        <f t="shared" si="1"/>
        <v>730000</v>
      </c>
      <c r="I35" s="95"/>
      <c r="J35" s="93"/>
      <c r="K35" s="94"/>
      <c r="L35" s="433">
        <f t="shared" si="3"/>
        <v>1825000</v>
      </c>
    </row>
    <row r="36" spans="1:21">
      <c r="A36" s="432">
        <f t="shared" si="2"/>
        <v>18</v>
      </c>
      <c r="B36" s="389">
        <v>1</v>
      </c>
      <c r="C36" s="390"/>
      <c r="D36" s="392">
        <v>0.3</v>
      </c>
      <c r="E36" s="391"/>
      <c r="F36" s="95">
        <f t="shared" si="0"/>
        <v>1095000</v>
      </c>
      <c r="G36" s="95">
        <f>(C36*電気工事外注費+D36*水車部品交換工事外注費+E36*電気工事外注費)*設置サイト数</f>
        <v>60000</v>
      </c>
      <c r="H36" s="95">
        <f t="shared" si="1"/>
        <v>730000</v>
      </c>
      <c r="I36" s="95"/>
      <c r="J36" s="93"/>
      <c r="K36" s="94"/>
      <c r="L36" s="433">
        <f t="shared" si="3"/>
        <v>1885000</v>
      </c>
    </row>
    <row r="37" spans="1:21">
      <c r="A37" s="432">
        <v>19</v>
      </c>
      <c r="B37" s="389">
        <v>1</v>
      </c>
      <c r="C37" s="390"/>
      <c r="D37" s="392"/>
      <c r="E37" s="391"/>
      <c r="F37" s="95">
        <f t="shared" si="0"/>
        <v>1095000</v>
      </c>
      <c r="G37" s="95"/>
      <c r="H37" s="95">
        <f t="shared" si="1"/>
        <v>730000</v>
      </c>
      <c r="I37" s="95"/>
      <c r="J37" s="93"/>
      <c r="K37" s="94"/>
      <c r="L37" s="433">
        <f t="shared" si="3"/>
        <v>1825000</v>
      </c>
    </row>
    <row r="38" spans="1:21" ht="18" thickBot="1">
      <c r="A38" s="432">
        <v>20</v>
      </c>
      <c r="B38" s="389">
        <v>1</v>
      </c>
      <c r="C38" s="398">
        <v>0.5</v>
      </c>
      <c r="D38" s="392"/>
      <c r="E38" s="401">
        <v>1</v>
      </c>
      <c r="F38" s="95">
        <f t="shared" si="0"/>
        <v>1095000</v>
      </c>
      <c r="G38" s="95">
        <f>(C38*電気工事外注費+D38*水車部品交換工事外注費+E38*電気工事外注費)*設置サイト数</f>
        <v>450000</v>
      </c>
      <c r="H38" s="95">
        <f t="shared" si="1"/>
        <v>730000</v>
      </c>
      <c r="I38" s="95"/>
      <c r="J38" s="93"/>
      <c r="K38" s="94"/>
      <c r="L38" s="433">
        <f>SUM(F38:J38)</f>
        <v>2275000</v>
      </c>
    </row>
    <row r="39" spans="1:21" ht="18" thickTop="1">
      <c r="A39" s="439" t="s">
        <v>101</v>
      </c>
      <c r="B39" s="440"/>
      <c r="C39" s="441"/>
      <c r="D39" s="441"/>
      <c r="E39" s="442"/>
      <c r="F39" s="443">
        <f>SUM(F19:F37)</f>
        <v>20805000</v>
      </c>
      <c r="G39" s="443">
        <f>SUM(G19:G37)</f>
        <v>1080000</v>
      </c>
      <c r="H39" s="443">
        <f>SUM(H19:H37)</f>
        <v>13870000</v>
      </c>
      <c r="I39" s="443"/>
      <c r="J39" s="443"/>
      <c r="K39" s="444"/>
      <c r="L39" s="445">
        <f t="shared" si="3"/>
        <v>35755000</v>
      </c>
    </row>
    <row r="40" spans="1:21">
      <c r="A40" s="92"/>
      <c r="B40" s="92"/>
      <c r="C40" s="92"/>
      <c r="D40" s="92"/>
      <c r="E40" s="92"/>
      <c r="F40" s="95"/>
      <c r="G40" s="95"/>
      <c r="H40" s="95"/>
      <c r="I40" s="95"/>
      <c r="J40" s="95"/>
      <c r="K40" s="95"/>
      <c r="L40" s="95"/>
    </row>
    <row r="41" spans="1:21">
      <c r="U41" s="101" t="e">
        <f>#REF!/19</f>
        <v>#REF!</v>
      </c>
    </row>
    <row r="42" spans="1:21">
      <c r="C42" s="102"/>
      <c r="D42" s="103"/>
      <c r="E42" s="102"/>
    </row>
    <row r="43" spans="1:21">
      <c r="D43" s="103"/>
    </row>
  </sheetData>
  <sheetProtection password="C6F4" sheet="1" objects="1" scenarios="1"/>
  <mergeCells count="2">
    <mergeCell ref="B17:E17"/>
    <mergeCell ref="F17:L17"/>
  </mergeCells>
  <phoneticPr fontId="6"/>
  <pageMargins left="0.2" right="0.2" top="0.5868503937007874" bottom="0.19" header="0.51" footer="0.51"/>
  <pageSetup paperSize="9" orientation="portrait" horizontalDpi="4294967292" verticalDpi="4294967292"/>
  <colBreaks count="1" manualBreakCount="1">
    <brk id="13" max="1048575" man="1" pt="1"/>
  </col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workbookViewId="0">
      <selection activeCell="C7" sqref="C7"/>
    </sheetView>
  </sheetViews>
  <sheetFormatPr baseColWidth="12" defaultColWidth="13.3984375" defaultRowHeight="13" x14ac:dyDescent="0"/>
  <cols>
    <col min="1" max="1" width="21.796875" style="112" customWidth="1"/>
    <col min="2" max="2" width="23.3984375" style="112" customWidth="1"/>
    <col min="3" max="3" width="16.3984375" style="112" bestFit="1" customWidth="1"/>
    <col min="4" max="4" width="13.3984375" style="112"/>
    <col min="5" max="5" width="18.3984375" style="112" bestFit="1" customWidth="1"/>
    <col min="6" max="6" width="15.19921875" style="112" customWidth="1"/>
    <col min="7" max="24" width="15.59765625" style="112" customWidth="1"/>
    <col min="25" max="16384" width="13.3984375" style="112"/>
  </cols>
  <sheetData>
    <row r="1" spans="1:34" ht="27" customHeight="1">
      <c r="A1" s="111" t="s">
        <v>678</v>
      </c>
    </row>
    <row r="2" spans="1:34" ht="28" customHeight="1">
      <c r="A2" s="113" t="s">
        <v>4</v>
      </c>
    </row>
    <row r="3" spans="1:34">
      <c r="A3" s="114" t="s">
        <v>132</v>
      </c>
      <c r="B3" s="114" t="s">
        <v>133</v>
      </c>
      <c r="C3" s="115" t="s">
        <v>134</v>
      </c>
      <c r="D3" s="115" t="s">
        <v>3</v>
      </c>
      <c r="E3" s="115">
        <v>1</v>
      </c>
      <c r="F3" s="115">
        <f t="shared" ref="F3:X3" si="0">E3+1</f>
        <v>2</v>
      </c>
      <c r="G3" s="115">
        <f t="shared" si="0"/>
        <v>3</v>
      </c>
      <c r="H3" s="115">
        <f t="shared" si="0"/>
        <v>4</v>
      </c>
      <c r="I3" s="115">
        <f t="shared" si="0"/>
        <v>5</v>
      </c>
      <c r="J3" s="115">
        <f t="shared" si="0"/>
        <v>6</v>
      </c>
      <c r="K3" s="115">
        <f t="shared" si="0"/>
        <v>7</v>
      </c>
      <c r="L3" s="115">
        <f t="shared" si="0"/>
        <v>8</v>
      </c>
      <c r="M3" s="115">
        <f t="shared" si="0"/>
        <v>9</v>
      </c>
      <c r="N3" s="115">
        <f t="shared" si="0"/>
        <v>10</v>
      </c>
      <c r="O3" s="115">
        <f t="shared" si="0"/>
        <v>11</v>
      </c>
      <c r="P3" s="115">
        <f t="shared" si="0"/>
        <v>12</v>
      </c>
      <c r="Q3" s="115">
        <f t="shared" si="0"/>
        <v>13</v>
      </c>
      <c r="R3" s="115">
        <f t="shared" si="0"/>
        <v>14</v>
      </c>
      <c r="S3" s="115">
        <f t="shared" si="0"/>
        <v>15</v>
      </c>
      <c r="T3" s="115">
        <f t="shared" si="0"/>
        <v>16</v>
      </c>
      <c r="U3" s="115">
        <f t="shared" si="0"/>
        <v>17</v>
      </c>
      <c r="V3" s="115">
        <f t="shared" si="0"/>
        <v>18</v>
      </c>
      <c r="W3" s="115">
        <f t="shared" si="0"/>
        <v>19</v>
      </c>
      <c r="X3" s="115">
        <f t="shared" si="0"/>
        <v>20</v>
      </c>
    </row>
    <row r="4" spans="1:34">
      <c r="A4" s="114" t="s">
        <v>229</v>
      </c>
      <c r="B4" s="114" t="s">
        <v>241</v>
      </c>
      <c r="C4" s="115">
        <f>機械装置</f>
        <v>75383656.567680955</v>
      </c>
      <c r="D4" s="116">
        <f>設備耐用年数!H17</f>
        <v>9.9000000000000005E-2</v>
      </c>
      <c r="E4" s="117">
        <f>C4</f>
        <v>75383656.567680955</v>
      </c>
      <c r="F4" s="118">
        <f>E4*(1-$D4)</f>
        <v>67920674.567480549</v>
      </c>
      <c r="G4" s="118">
        <f t="shared" ref="G4:K5" si="1">F4*(1-$D4)</f>
        <v>61196527.785299979</v>
      </c>
      <c r="H4" s="118">
        <f t="shared" si="1"/>
        <v>55138071.534555286</v>
      </c>
      <c r="I4" s="118">
        <f t="shared" si="1"/>
        <v>49679402.452634312</v>
      </c>
      <c r="J4" s="118">
        <f t="shared" si="1"/>
        <v>44761141.609823518</v>
      </c>
      <c r="K4" s="118">
        <f t="shared" si="1"/>
        <v>40329788.590450987</v>
      </c>
      <c r="L4" s="118">
        <f t="shared" ref="L4:X4" si="2">K4</f>
        <v>40329788.590450987</v>
      </c>
      <c r="M4" s="118">
        <f t="shared" si="2"/>
        <v>40329788.590450987</v>
      </c>
      <c r="N4" s="118">
        <f t="shared" si="2"/>
        <v>40329788.590450987</v>
      </c>
      <c r="O4" s="118">
        <f t="shared" si="2"/>
        <v>40329788.590450987</v>
      </c>
      <c r="P4" s="118">
        <f t="shared" si="2"/>
        <v>40329788.590450987</v>
      </c>
      <c r="Q4" s="118">
        <f t="shared" si="2"/>
        <v>40329788.590450987</v>
      </c>
      <c r="R4" s="118">
        <f t="shared" si="2"/>
        <v>40329788.590450987</v>
      </c>
      <c r="S4" s="118">
        <f t="shared" si="2"/>
        <v>40329788.590450987</v>
      </c>
      <c r="T4" s="118">
        <f t="shared" si="2"/>
        <v>40329788.590450987</v>
      </c>
      <c r="U4" s="118">
        <f t="shared" si="2"/>
        <v>40329788.590450987</v>
      </c>
      <c r="V4" s="118">
        <f t="shared" si="2"/>
        <v>40329788.590450987</v>
      </c>
      <c r="W4" s="118">
        <f t="shared" si="2"/>
        <v>40329788.590450987</v>
      </c>
      <c r="X4" s="118">
        <f t="shared" si="2"/>
        <v>40329788.590450987</v>
      </c>
    </row>
    <row r="5" spans="1:34">
      <c r="A5" s="114"/>
      <c r="B5" s="114" t="s">
        <v>242</v>
      </c>
      <c r="C5" s="115">
        <f>建家</f>
        <v>3839540.792764951</v>
      </c>
      <c r="D5" s="116">
        <f>VLOOKUP(パラメータ!F92,設備耐用年数!C25:H31,6)</f>
        <v>0.114</v>
      </c>
      <c r="E5" s="117">
        <f>C5</f>
        <v>3839540.792764951</v>
      </c>
      <c r="F5" s="118">
        <f>E5*(1-$D5)</f>
        <v>3401833.1423897468</v>
      </c>
      <c r="G5" s="118">
        <f t="shared" si="1"/>
        <v>3014024.1641573156</v>
      </c>
      <c r="H5" s="118">
        <f t="shared" si="1"/>
        <v>2670425.4094433817</v>
      </c>
      <c r="I5" s="118">
        <f t="shared" si="1"/>
        <v>2365996.9127668361</v>
      </c>
      <c r="J5" s="118">
        <f t="shared" si="1"/>
        <v>2096273.2647114168</v>
      </c>
      <c r="K5" s="118">
        <f t="shared" si="1"/>
        <v>1857298.1125343153</v>
      </c>
      <c r="L5" s="118">
        <f t="shared" ref="L5:X5" si="3">K5</f>
        <v>1857298.1125343153</v>
      </c>
      <c r="M5" s="118">
        <f t="shared" si="3"/>
        <v>1857298.1125343153</v>
      </c>
      <c r="N5" s="118">
        <f t="shared" si="3"/>
        <v>1857298.1125343153</v>
      </c>
      <c r="O5" s="118">
        <f t="shared" si="3"/>
        <v>1857298.1125343153</v>
      </c>
      <c r="P5" s="118">
        <f t="shared" si="3"/>
        <v>1857298.1125343153</v>
      </c>
      <c r="Q5" s="118">
        <f t="shared" si="3"/>
        <v>1857298.1125343153</v>
      </c>
      <c r="R5" s="118">
        <f t="shared" si="3"/>
        <v>1857298.1125343153</v>
      </c>
      <c r="S5" s="118">
        <f t="shared" si="3"/>
        <v>1857298.1125343153</v>
      </c>
      <c r="T5" s="118">
        <f t="shared" si="3"/>
        <v>1857298.1125343153</v>
      </c>
      <c r="U5" s="118">
        <f t="shared" si="3"/>
        <v>1857298.1125343153</v>
      </c>
      <c r="V5" s="118">
        <f t="shared" si="3"/>
        <v>1857298.1125343153</v>
      </c>
      <c r="W5" s="118">
        <f t="shared" si="3"/>
        <v>1857298.1125343153</v>
      </c>
      <c r="X5" s="118">
        <f t="shared" si="3"/>
        <v>1857298.1125343153</v>
      </c>
    </row>
    <row r="6" spans="1:34">
      <c r="A6" s="114"/>
      <c r="B6" s="114"/>
      <c r="C6" s="115"/>
      <c r="D6" s="116"/>
      <c r="E6" s="117"/>
      <c r="F6" s="118"/>
      <c r="G6" s="118"/>
      <c r="H6" s="118"/>
      <c r="I6" s="118"/>
      <c r="J6" s="118"/>
      <c r="K6" s="118"/>
      <c r="L6" s="118"/>
      <c r="M6" s="118"/>
      <c r="N6" s="118"/>
      <c r="O6" s="118"/>
      <c r="P6" s="118"/>
      <c r="Q6" s="118"/>
      <c r="R6" s="118"/>
      <c r="S6" s="118"/>
      <c r="T6" s="118"/>
      <c r="U6" s="118"/>
      <c r="V6" s="118"/>
      <c r="W6" s="118"/>
      <c r="X6" s="118"/>
    </row>
    <row r="7" spans="1:34" ht="32">
      <c r="A7" s="119" t="s">
        <v>681</v>
      </c>
      <c r="K7" s="118"/>
    </row>
    <row r="8" spans="1:34">
      <c r="A8" s="114" t="s">
        <v>132</v>
      </c>
      <c r="B8" s="114" t="s">
        <v>133</v>
      </c>
      <c r="C8" s="115" t="s">
        <v>9</v>
      </c>
      <c r="D8" s="115" t="s">
        <v>8</v>
      </c>
      <c r="E8" s="115" t="s">
        <v>7</v>
      </c>
      <c r="F8" s="115">
        <v>1</v>
      </c>
      <c r="G8" s="115">
        <f t="shared" ref="G8:Y8" si="4">F8+1</f>
        <v>2</v>
      </c>
      <c r="H8" s="115">
        <f t="shared" si="4"/>
        <v>3</v>
      </c>
      <c r="I8" s="115">
        <f t="shared" si="4"/>
        <v>4</v>
      </c>
      <c r="J8" s="115">
        <f t="shared" si="4"/>
        <v>5</v>
      </c>
      <c r="K8" s="115">
        <f t="shared" si="4"/>
        <v>6</v>
      </c>
      <c r="L8" s="115">
        <f t="shared" si="4"/>
        <v>7</v>
      </c>
      <c r="M8" s="115">
        <f t="shared" si="4"/>
        <v>8</v>
      </c>
      <c r="N8" s="115">
        <f t="shared" si="4"/>
        <v>9</v>
      </c>
      <c r="O8" s="115">
        <f t="shared" si="4"/>
        <v>10</v>
      </c>
      <c r="P8" s="115">
        <f t="shared" si="4"/>
        <v>11</v>
      </c>
      <c r="Q8" s="115">
        <f t="shared" si="4"/>
        <v>12</v>
      </c>
      <c r="R8" s="115">
        <f t="shared" si="4"/>
        <v>13</v>
      </c>
      <c r="S8" s="115">
        <f t="shared" si="4"/>
        <v>14</v>
      </c>
      <c r="T8" s="115">
        <f t="shared" si="4"/>
        <v>15</v>
      </c>
      <c r="U8" s="115">
        <f t="shared" si="4"/>
        <v>16</v>
      </c>
      <c r="V8" s="115">
        <f t="shared" si="4"/>
        <v>17</v>
      </c>
      <c r="W8" s="115">
        <f t="shared" si="4"/>
        <v>18</v>
      </c>
      <c r="X8" s="115">
        <f t="shared" si="4"/>
        <v>19</v>
      </c>
      <c r="Y8" s="115">
        <f t="shared" si="4"/>
        <v>20</v>
      </c>
    </row>
    <row r="9" spans="1:34" s="124" customFormat="1">
      <c r="A9" s="120" t="s">
        <v>229</v>
      </c>
      <c r="B9" s="120" t="s">
        <v>241</v>
      </c>
      <c r="C9" s="402">
        <f>85400/23000000</f>
        <v>3.7130434782608698E-3</v>
      </c>
      <c r="D9" s="402">
        <v>1.0700169395821569E-3</v>
      </c>
      <c r="E9" s="403">
        <v>1.9E-2</v>
      </c>
      <c r="F9" s="123">
        <f>$C4*$C9*65%+E4*$D9+E4*$E9</f>
        <v>1694888.0806319558</v>
      </c>
      <c r="G9" s="123">
        <f>$C4*$C9*65%+F4*$D9+F4*$E9</f>
        <v>1545105.9054681368</v>
      </c>
      <c r="H9" s="123">
        <f t="shared" ref="H9:H10" si="5">$C4*$C9*65%+G4*$D9+G4*$E9</f>
        <v>1410152.165645536</v>
      </c>
      <c r="I9" s="123">
        <f t="shared" ref="I9:X9" si="6">$C4*$C9+H4*$D9+H4*$E9</f>
        <v>1386524.8241005023</v>
      </c>
      <c r="J9" s="123">
        <f t="shared" si="6"/>
        <v>1276969.2431587749</v>
      </c>
      <c r="K9" s="123">
        <f t="shared" si="6"/>
        <v>1178259.6647302788</v>
      </c>
      <c r="L9" s="123">
        <f t="shared" si="6"/>
        <v>1089322.3345662034</v>
      </c>
      <c r="M9" s="123">
        <f t="shared" si="6"/>
        <v>1089322.3345662034</v>
      </c>
      <c r="N9" s="123">
        <f t="shared" si="6"/>
        <v>1089322.3345662034</v>
      </c>
      <c r="O9" s="123">
        <f t="shared" si="6"/>
        <v>1089322.3345662034</v>
      </c>
      <c r="P9" s="123">
        <f t="shared" si="6"/>
        <v>1089322.3345662034</v>
      </c>
      <c r="Q9" s="123">
        <f t="shared" si="6"/>
        <v>1089322.3345662034</v>
      </c>
      <c r="R9" s="123">
        <f t="shared" si="6"/>
        <v>1089322.3345662034</v>
      </c>
      <c r="S9" s="123">
        <f t="shared" si="6"/>
        <v>1089322.3345662034</v>
      </c>
      <c r="T9" s="123">
        <f t="shared" si="6"/>
        <v>1089322.3345662034</v>
      </c>
      <c r="U9" s="123">
        <f t="shared" si="6"/>
        <v>1089322.3345662034</v>
      </c>
      <c r="V9" s="123">
        <f t="shared" si="6"/>
        <v>1089322.3345662034</v>
      </c>
      <c r="W9" s="123">
        <f t="shared" si="6"/>
        <v>1089322.3345662034</v>
      </c>
      <c r="X9" s="123">
        <f t="shared" si="6"/>
        <v>1089322.3345662034</v>
      </c>
      <c r="Y9" s="123">
        <f>$C4*$C9+X4*$D9+X4*$E9</f>
        <v>1089322.3345662034</v>
      </c>
    </row>
    <row r="10" spans="1:34" s="124" customFormat="1">
      <c r="A10" s="120"/>
      <c r="B10" s="120" t="s">
        <v>242</v>
      </c>
      <c r="C10" s="402">
        <v>4.7720000000000002E-3</v>
      </c>
      <c r="D10" s="402">
        <v>1.072E-3</v>
      </c>
      <c r="E10" s="403">
        <v>1.9E-2</v>
      </c>
      <c r="F10" s="123">
        <f>$C5*$C10*65%+E5*$D10+E5*$E10</f>
        <v>88976.750423376419</v>
      </c>
      <c r="G10" s="123">
        <f>$C5*$C10*65%+F5*$D10+F5*$E10</f>
        <v>80191.082465045329</v>
      </c>
      <c r="H10" s="123">
        <f t="shared" si="5"/>
        <v>72406.980653963969</v>
      </c>
      <c r="I10" s="123">
        <f t="shared" ref="I10:Y10" si="7">$C5*$C10+H5*$D10+H5*$E10</f>
        <v>71923.067481421909</v>
      </c>
      <c r="J10" s="123">
        <f t="shared" si="7"/>
        <v>65812.57869613028</v>
      </c>
      <c r="K10" s="123">
        <f t="shared" si="7"/>
        <v>60398.685632361907</v>
      </c>
      <c r="L10" s="123">
        <f t="shared" si="7"/>
        <v>55601.976377863124</v>
      </c>
      <c r="M10" s="123">
        <f t="shared" si="7"/>
        <v>55601.976377863124</v>
      </c>
      <c r="N10" s="123">
        <f t="shared" si="7"/>
        <v>55601.976377863124</v>
      </c>
      <c r="O10" s="123">
        <f t="shared" si="7"/>
        <v>55601.976377863124</v>
      </c>
      <c r="P10" s="123">
        <f t="shared" si="7"/>
        <v>55601.976377863124</v>
      </c>
      <c r="Q10" s="123">
        <f t="shared" si="7"/>
        <v>55601.976377863124</v>
      </c>
      <c r="R10" s="123">
        <f t="shared" si="7"/>
        <v>55601.976377863124</v>
      </c>
      <c r="S10" s="123">
        <f t="shared" si="7"/>
        <v>55601.976377863124</v>
      </c>
      <c r="T10" s="123">
        <f t="shared" si="7"/>
        <v>55601.976377863124</v>
      </c>
      <c r="U10" s="123">
        <f t="shared" si="7"/>
        <v>55601.976377863124</v>
      </c>
      <c r="V10" s="123">
        <f t="shared" si="7"/>
        <v>55601.976377863124</v>
      </c>
      <c r="W10" s="123">
        <f t="shared" si="7"/>
        <v>55601.976377863124</v>
      </c>
      <c r="X10" s="123">
        <f t="shared" si="7"/>
        <v>55601.976377863124</v>
      </c>
      <c r="Y10" s="123">
        <f t="shared" si="7"/>
        <v>55601.976377863124</v>
      </c>
    </row>
    <row r="11" spans="1:34" s="124" customFormat="1">
      <c r="A11" s="120"/>
      <c r="B11" s="125" t="s">
        <v>512</v>
      </c>
      <c r="C11" s="402">
        <v>2.0000000000000001E-4</v>
      </c>
      <c r="D11" s="121"/>
      <c r="E11" s="122"/>
      <c r="F11" s="123">
        <f>' PL1'!I7*保険料!$C$11</f>
        <v>5212.2</v>
      </c>
      <c r="G11" s="123">
        <f>' PL1'!J7*保険料!$C$11</f>
        <v>5212.2</v>
      </c>
      <c r="H11" s="123">
        <f>' PL1'!K7*保険料!$C$11</f>
        <v>5212.2</v>
      </c>
      <c r="I11" s="123">
        <f>' PL1'!L7*保険料!$C$11</f>
        <v>5212.2</v>
      </c>
      <c r="J11" s="123">
        <f>' PL1'!M7*保険料!$C$11</f>
        <v>5212.2</v>
      </c>
      <c r="K11" s="123">
        <f>' PL1'!N7*保険料!$C$11</f>
        <v>5212.2</v>
      </c>
      <c r="L11" s="123">
        <f>' PL1'!O7*保険料!$C$11</f>
        <v>5212.2</v>
      </c>
      <c r="M11" s="123">
        <f>' PL1'!P7*保険料!$C$11</f>
        <v>5212.2</v>
      </c>
      <c r="N11" s="123">
        <f>' PL1'!Q7*保険料!$C$11</f>
        <v>5212.2</v>
      </c>
      <c r="O11" s="123">
        <f>' PL1'!R7*保険料!$C$11</f>
        <v>5212.2</v>
      </c>
      <c r="P11" s="123">
        <f>' PL1'!S7*保険料!$C$11</f>
        <v>5212.2</v>
      </c>
      <c r="Q11" s="123">
        <f>' PL1'!T7*保険料!$C$11</f>
        <v>5212.2</v>
      </c>
      <c r="R11" s="123">
        <f>' PL1'!U7*保険料!$C$11</f>
        <v>5212.2</v>
      </c>
      <c r="S11" s="123">
        <f>' PL1'!V7*保険料!$C$11</f>
        <v>5212.2</v>
      </c>
      <c r="T11" s="123">
        <f>' PL1'!W7*保険料!$C$11</f>
        <v>5212.2</v>
      </c>
      <c r="U11" s="123">
        <f>' PL1'!X7*保険料!$C$11</f>
        <v>5212.2</v>
      </c>
      <c r="V11" s="123">
        <f>' PL1'!Y7*保険料!$C$11</f>
        <v>5212.2</v>
      </c>
      <c r="W11" s="123">
        <f>' PL1'!Z7*保険料!$C$11</f>
        <v>5212.2</v>
      </c>
      <c r="X11" s="123">
        <f>' PL1'!AA7*保険料!$C$11</f>
        <v>5212.2</v>
      </c>
      <c r="Y11" s="123">
        <f>' PL1'!AB7*保険料!$C$11</f>
        <v>5212.2</v>
      </c>
    </row>
    <row r="12" spans="1:34">
      <c r="A12" s="114"/>
      <c r="B12" s="114"/>
      <c r="C12" s="126"/>
      <c r="D12" s="126"/>
      <c r="E12" s="127" t="s">
        <v>2</v>
      </c>
      <c r="F12" s="128">
        <f>SUM(F9:F11)</f>
        <v>1789077.0310553322</v>
      </c>
      <c r="G12" s="128">
        <f t="shared" ref="G12:Y12" si="8">SUM(G9:G11)</f>
        <v>1630509.1879331821</v>
      </c>
      <c r="H12" s="128">
        <f t="shared" si="8"/>
        <v>1487771.3462995</v>
      </c>
      <c r="I12" s="128">
        <f t="shared" si="8"/>
        <v>1463660.0915819241</v>
      </c>
      <c r="J12" s="128">
        <f t="shared" si="8"/>
        <v>1347994.0218549052</v>
      </c>
      <c r="K12" s="128">
        <f t="shared" si="8"/>
        <v>1243870.5503626405</v>
      </c>
      <c r="L12" s="128">
        <f t="shared" si="8"/>
        <v>1150136.5109440666</v>
      </c>
      <c r="M12" s="128">
        <f t="shared" si="8"/>
        <v>1150136.5109440666</v>
      </c>
      <c r="N12" s="128">
        <f t="shared" si="8"/>
        <v>1150136.5109440666</v>
      </c>
      <c r="O12" s="128">
        <f t="shared" si="8"/>
        <v>1150136.5109440666</v>
      </c>
      <c r="P12" s="128">
        <f t="shared" si="8"/>
        <v>1150136.5109440666</v>
      </c>
      <c r="Q12" s="128">
        <f t="shared" si="8"/>
        <v>1150136.5109440666</v>
      </c>
      <c r="R12" s="128">
        <f t="shared" si="8"/>
        <v>1150136.5109440666</v>
      </c>
      <c r="S12" s="128">
        <f t="shared" si="8"/>
        <v>1150136.5109440666</v>
      </c>
      <c r="T12" s="128">
        <f t="shared" si="8"/>
        <v>1150136.5109440666</v>
      </c>
      <c r="U12" s="128">
        <f t="shared" si="8"/>
        <v>1150136.5109440666</v>
      </c>
      <c r="V12" s="128">
        <f t="shared" si="8"/>
        <v>1150136.5109440666</v>
      </c>
      <c r="W12" s="128">
        <f t="shared" si="8"/>
        <v>1150136.5109440666</v>
      </c>
      <c r="X12" s="128">
        <f t="shared" si="8"/>
        <v>1150136.5109440666</v>
      </c>
      <c r="Y12" s="466">
        <f t="shared" si="8"/>
        <v>1150136.5109440666</v>
      </c>
    </row>
    <row r="13" spans="1:34">
      <c r="A13" s="114"/>
      <c r="B13" s="114"/>
      <c r="C13" s="126"/>
      <c r="D13" s="126"/>
      <c r="E13" s="467" t="s">
        <v>14</v>
      </c>
      <c r="F13" s="468">
        <f>F12</f>
        <v>1789077.0310553322</v>
      </c>
      <c r="G13" s="468">
        <f>F13+G12</f>
        <v>3419586.2189885145</v>
      </c>
      <c r="H13" s="468">
        <f t="shared" ref="H13:W13" si="9">G13+H12</f>
        <v>4907357.5652880147</v>
      </c>
      <c r="I13" s="468">
        <f t="shared" si="9"/>
        <v>6371017.6568699386</v>
      </c>
      <c r="J13" s="468">
        <f t="shared" si="9"/>
        <v>7719011.678724844</v>
      </c>
      <c r="K13" s="468">
        <f t="shared" si="9"/>
        <v>8962882.229087485</v>
      </c>
      <c r="L13" s="468">
        <f t="shared" si="9"/>
        <v>10113018.740031552</v>
      </c>
      <c r="M13" s="468">
        <f t="shared" si="9"/>
        <v>11263155.250975618</v>
      </c>
      <c r="N13" s="468">
        <f t="shared" si="9"/>
        <v>12413291.761919685</v>
      </c>
      <c r="O13" s="468">
        <f t="shared" si="9"/>
        <v>13563428.272863751</v>
      </c>
      <c r="P13" s="468">
        <f t="shared" si="9"/>
        <v>14713564.783807818</v>
      </c>
      <c r="Q13" s="468">
        <f t="shared" si="9"/>
        <v>15863701.294751884</v>
      </c>
      <c r="R13" s="468">
        <f t="shared" si="9"/>
        <v>17013837.805695951</v>
      </c>
      <c r="S13" s="468">
        <f t="shared" si="9"/>
        <v>18163974.316640019</v>
      </c>
      <c r="T13" s="468">
        <f t="shared" si="9"/>
        <v>19314110.827584088</v>
      </c>
      <c r="U13" s="468">
        <f t="shared" si="9"/>
        <v>20464247.338528156</v>
      </c>
      <c r="V13" s="468">
        <f t="shared" si="9"/>
        <v>21614383.849472225</v>
      </c>
      <c r="W13" s="468">
        <f t="shared" si="9"/>
        <v>22764520.360416293</v>
      </c>
      <c r="X13" s="468">
        <f>W13+X12</f>
        <v>23914656.871360362</v>
      </c>
      <c r="Y13" s="469">
        <f>X13+Y12</f>
        <v>25064793.38230443</v>
      </c>
      <c r="Z13" s="124"/>
      <c r="AA13" s="124"/>
      <c r="AB13" s="124"/>
      <c r="AC13" s="124"/>
      <c r="AD13" s="124"/>
      <c r="AE13" s="124"/>
      <c r="AF13" s="124"/>
      <c r="AG13" s="124"/>
      <c r="AH13" s="124"/>
    </row>
    <row r="14" spans="1:34" hidden="1">
      <c r="E14" s="124" t="s">
        <v>101</v>
      </c>
      <c r="F14" s="123" t="e">
        <f>F12+#REF!+#REF!</f>
        <v>#REF!</v>
      </c>
      <c r="G14" s="123" t="e">
        <f>G12+#REF!+#REF!</f>
        <v>#REF!</v>
      </c>
      <c r="H14" s="123" t="e">
        <f>H12+#REF!+#REF!</f>
        <v>#REF!</v>
      </c>
      <c r="I14" s="123" t="e">
        <f>I12+#REF!+#REF!</f>
        <v>#REF!</v>
      </c>
      <c r="J14" s="123" t="e">
        <f>J12+#REF!+#REF!</f>
        <v>#REF!</v>
      </c>
      <c r="K14" s="123" t="e">
        <f>K12+#REF!+#REF!</f>
        <v>#REF!</v>
      </c>
      <c r="L14" s="123" t="e">
        <f>L12+#REF!+#REF!</f>
        <v>#REF!</v>
      </c>
      <c r="M14" s="123" t="e">
        <f>M12+#REF!+#REF!</f>
        <v>#REF!</v>
      </c>
      <c r="N14" s="123" t="e">
        <f>N12+#REF!+#REF!</f>
        <v>#REF!</v>
      </c>
      <c r="O14" s="123" t="e">
        <f>O12+#REF!+#REF!</f>
        <v>#REF!</v>
      </c>
      <c r="P14" s="123" t="e">
        <f>P12+#REF!+#REF!</f>
        <v>#REF!</v>
      </c>
      <c r="Q14" s="123" t="e">
        <f>Q12+#REF!+#REF!</f>
        <v>#REF!</v>
      </c>
      <c r="R14" s="123" t="e">
        <f>R12+#REF!+#REF!</f>
        <v>#REF!</v>
      </c>
      <c r="S14" s="123" t="e">
        <f>S12+#REF!+#REF!</f>
        <v>#REF!</v>
      </c>
      <c r="T14" s="123" t="e">
        <f>T12+#REF!+#REF!</f>
        <v>#REF!</v>
      </c>
      <c r="U14" s="123" t="e">
        <f>U12+#REF!+#REF!</f>
        <v>#REF!</v>
      </c>
      <c r="V14" s="123" t="e">
        <f>V12+#REF!+#REF!</f>
        <v>#REF!</v>
      </c>
      <c r="W14" s="123" t="e">
        <f>W12+#REF!+#REF!</f>
        <v>#REF!</v>
      </c>
      <c r="X14" s="123" t="e">
        <f>X12+#REF!+#REF!</f>
        <v>#REF!</v>
      </c>
      <c r="Y14" s="123" t="e">
        <f>Y12+#REF!+#REF!</f>
        <v>#REF!</v>
      </c>
      <c r="Z14" s="124"/>
      <c r="AA14" s="124"/>
      <c r="AB14" s="124"/>
      <c r="AC14" s="124"/>
      <c r="AD14" s="124"/>
      <c r="AE14" s="124"/>
      <c r="AF14" s="124"/>
      <c r="AG14" s="124"/>
      <c r="AH14" s="124"/>
    </row>
    <row r="15" spans="1:34">
      <c r="E15" s="124" t="s">
        <v>1</v>
      </c>
      <c r="F15" s="123">
        <v>85000</v>
      </c>
      <c r="G15" s="123">
        <v>85000</v>
      </c>
      <c r="H15" s="123">
        <v>85000</v>
      </c>
      <c r="I15" s="123">
        <v>85000</v>
      </c>
      <c r="J15" s="123">
        <v>85000</v>
      </c>
      <c r="K15" s="123">
        <v>85000</v>
      </c>
      <c r="L15" s="123">
        <v>85000</v>
      </c>
      <c r="M15" s="123">
        <v>85000</v>
      </c>
      <c r="N15" s="123">
        <v>85000</v>
      </c>
      <c r="O15" s="123">
        <v>85000</v>
      </c>
      <c r="P15" s="123">
        <v>85000</v>
      </c>
      <c r="Q15" s="123">
        <v>85000</v>
      </c>
      <c r="R15" s="123">
        <v>85000</v>
      </c>
      <c r="S15" s="123">
        <v>85000</v>
      </c>
      <c r="T15" s="123">
        <v>85000</v>
      </c>
      <c r="U15" s="123">
        <v>85000</v>
      </c>
      <c r="V15" s="123">
        <v>85000</v>
      </c>
      <c r="W15" s="123">
        <v>85000</v>
      </c>
      <c r="X15" s="123">
        <v>85000</v>
      </c>
      <c r="Y15" s="123">
        <v>85000</v>
      </c>
      <c r="Z15" s="124"/>
      <c r="AA15" s="124"/>
      <c r="AB15" s="124"/>
      <c r="AC15" s="124"/>
      <c r="AD15" s="124"/>
      <c r="AE15" s="124"/>
      <c r="AF15" s="124"/>
      <c r="AG15" s="124"/>
      <c r="AH15" s="124"/>
    </row>
    <row r="16" spans="1:34" hidden="1">
      <c r="E16" s="112" t="s">
        <v>15</v>
      </c>
      <c r="F16" s="118" t="e">
        <f>F14+F15</f>
        <v>#REF!</v>
      </c>
      <c r="G16" s="118" t="e">
        <f t="shared" ref="G16:Y16" si="10">G14+G15</f>
        <v>#REF!</v>
      </c>
      <c r="H16" s="118" t="e">
        <f t="shared" si="10"/>
        <v>#REF!</v>
      </c>
      <c r="I16" s="118" t="e">
        <f t="shared" si="10"/>
        <v>#REF!</v>
      </c>
      <c r="J16" s="118" t="e">
        <f t="shared" si="10"/>
        <v>#REF!</v>
      </c>
      <c r="K16" s="118" t="e">
        <f t="shared" si="10"/>
        <v>#REF!</v>
      </c>
      <c r="L16" s="118" t="e">
        <f t="shared" si="10"/>
        <v>#REF!</v>
      </c>
      <c r="M16" s="118" t="e">
        <f t="shared" si="10"/>
        <v>#REF!</v>
      </c>
      <c r="N16" s="118" t="e">
        <f t="shared" si="10"/>
        <v>#REF!</v>
      </c>
      <c r="O16" s="118" t="e">
        <f t="shared" si="10"/>
        <v>#REF!</v>
      </c>
      <c r="P16" s="118" t="e">
        <f t="shared" si="10"/>
        <v>#REF!</v>
      </c>
      <c r="Q16" s="118" t="e">
        <f t="shared" si="10"/>
        <v>#REF!</v>
      </c>
      <c r="R16" s="118" t="e">
        <f t="shared" si="10"/>
        <v>#REF!</v>
      </c>
      <c r="S16" s="118" t="e">
        <f t="shared" si="10"/>
        <v>#REF!</v>
      </c>
      <c r="T16" s="118" t="e">
        <f t="shared" si="10"/>
        <v>#REF!</v>
      </c>
      <c r="U16" s="118" t="e">
        <f t="shared" si="10"/>
        <v>#REF!</v>
      </c>
      <c r="V16" s="118" t="e">
        <f t="shared" si="10"/>
        <v>#REF!</v>
      </c>
      <c r="W16" s="118" t="e">
        <f t="shared" si="10"/>
        <v>#REF!</v>
      </c>
      <c r="X16" s="118" t="e">
        <f t="shared" si="10"/>
        <v>#REF!</v>
      </c>
      <c r="Y16" s="118" t="e">
        <f t="shared" si="10"/>
        <v>#REF!</v>
      </c>
    </row>
    <row r="17" spans="1:25" hidden="1">
      <c r="E17" s="118" t="s">
        <v>14</v>
      </c>
      <c r="F17" s="118" t="e">
        <f>F16</f>
        <v>#REF!</v>
      </c>
      <c r="G17" s="118" t="e">
        <f t="shared" ref="G17:Y17" si="11">F17+G16</f>
        <v>#REF!</v>
      </c>
      <c r="H17" s="118" t="e">
        <f t="shared" si="11"/>
        <v>#REF!</v>
      </c>
      <c r="I17" s="118" t="e">
        <f t="shared" si="11"/>
        <v>#REF!</v>
      </c>
      <c r="J17" s="118" t="e">
        <f t="shared" si="11"/>
        <v>#REF!</v>
      </c>
      <c r="K17" s="118" t="e">
        <f t="shared" si="11"/>
        <v>#REF!</v>
      </c>
      <c r="L17" s="118" t="e">
        <f t="shared" si="11"/>
        <v>#REF!</v>
      </c>
      <c r="M17" s="118" t="e">
        <f t="shared" si="11"/>
        <v>#REF!</v>
      </c>
      <c r="N17" s="118" t="e">
        <f t="shared" si="11"/>
        <v>#REF!</v>
      </c>
      <c r="O17" s="118" t="e">
        <f t="shared" si="11"/>
        <v>#REF!</v>
      </c>
      <c r="P17" s="118" t="e">
        <f t="shared" si="11"/>
        <v>#REF!</v>
      </c>
      <c r="Q17" s="118" t="e">
        <f t="shared" si="11"/>
        <v>#REF!</v>
      </c>
      <c r="R17" s="118" t="e">
        <f t="shared" si="11"/>
        <v>#REF!</v>
      </c>
      <c r="S17" s="118" t="e">
        <f t="shared" si="11"/>
        <v>#REF!</v>
      </c>
      <c r="T17" s="118" t="e">
        <f t="shared" si="11"/>
        <v>#REF!</v>
      </c>
      <c r="U17" s="118" t="e">
        <f t="shared" si="11"/>
        <v>#REF!</v>
      </c>
      <c r="V17" s="118" t="e">
        <f t="shared" si="11"/>
        <v>#REF!</v>
      </c>
      <c r="W17" s="118" t="e">
        <f t="shared" si="11"/>
        <v>#REF!</v>
      </c>
      <c r="X17" s="118" t="e">
        <f t="shared" si="11"/>
        <v>#REF!</v>
      </c>
      <c r="Y17" s="118" t="e">
        <f t="shared" si="11"/>
        <v>#REF!</v>
      </c>
    </row>
    <row r="19" spans="1:25">
      <c r="A19" s="112" t="s">
        <v>13</v>
      </c>
    </row>
    <row r="20" spans="1:25">
      <c r="A20" s="112" t="s">
        <v>12</v>
      </c>
      <c r="B20" s="129">
        <v>2.3E-2</v>
      </c>
    </row>
    <row r="21" spans="1:25">
      <c r="A21" s="112" t="s">
        <v>11</v>
      </c>
      <c r="B21" s="129">
        <v>1.9E-2</v>
      </c>
    </row>
    <row r="22" spans="1:25">
      <c r="A22" s="112" t="s">
        <v>10</v>
      </c>
      <c r="B22" s="130">
        <v>0</v>
      </c>
    </row>
    <row r="25" spans="1:25" ht="32">
      <c r="A25" s="119" t="s">
        <v>248</v>
      </c>
      <c r="E25" s="112" t="s">
        <v>518</v>
      </c>
    </row>
    <row r="26" spans="1:25">
      <c r="A26" s="114" t="s">
        <v>133</v>
      </c>
      <c r="B26" s="115" t="s">
        <v>134</v>
      </c>
      <c r="C26" s="115" t="s">
        <v>9</v>
      </c>
      <c r="D26" s="112" t="s">
        <v>249</v>
      </c>
      <c r="E26" s="112" t="s">
        <v>250</v>
      </c>
      <c r="F26" s="115">
        <v>1</v>
      </c>
      <c r="G26" s="115">
        <f t="shared" ref="G26:Y26" si="12">F26+1</f>
        <v>2</v>
      </c>
      <c r="H26" s="115">
        <f t="shared" si="12"/>
        <v>3</v>
      </c>
      <c r="I26" s="115">
        <f t="shared" si="12"/>
        <v>4</v>
      </c>
      <c r="J26" s="115">
        <f t="shared" si="12"/>
        <v>5</v>
      </c>
      <c r="K26" s="115">
        <f t="shared" si="12"/>
        <v>6</v>
      </c>
      <c r="L26" s="115">
        <f t="shared" si="12"/>
        <v>7</v>
      </c>
      <c r="M26" s="115">
        <f t="shared" si="12"/>
        <v>8</v>
      </c>
      <c r="N26" s="115">
        <f t="shared" si="12"/>
        <v>9</v>
      </c>
      <c r="O26" s="115">
        <f t="shared" si="12"/>
        <v>10</v>
      </c>
      <c r="P26" s="115">
        <f t="shared" si="12"/>
        <v>11</v>
      </c>
      <c r="Q26" s="115">
        <f t="shared" si="12"/>
        <v>12</v>
      </c>
      <c r="R26" s="115">
        <f t="shared" si="12"/>
        <v>13</v>
      </c>
      <c r="S26" s="115">
        <f t="shared" si="12"/>
        <v>14</v>
      </c>
      <c r="T26" s="115">
        <f t="shared" si="12"/>
        <v>15</v>
      </c>
      <c r="U26" s="115">
        <f t="shared" si="12"/>
        <v>16</v>
      </c>
      <c r="V26" s="115">
        <f t="shared" si="12"/>
        <v>17</v>
      </c>
      <c r="W26" s="115">
        <f t="shared" si="12"/>
        <v>18</v>
      </c>
      <c r="X26" s="115">
        <f t="shared" si="12"/>
        <v>19</v>
      </c>
      <c r="Y26" s="115">
        <f t="shared" si="12"/>
        <v>20</v>
      </c>
    </row>
    <row r="27" spans="1:25" s="132" customFormat="1">
      <c r="A27" s="132" t="s">
        <v>679</v>
      </c>
      <c r="B27" s="131"/>
      <c r="C27" s="131"/>
      <c r="F27" s="404">
        <v>1</v>
      </c>
      <c r="G27" s="404">
        <v>1</v>
      </c>
      <c r="H27" s="404">
        <v>1</v>
      </c>
      <c r="I27" s="404">
        <v>1</v>
      </c>
      <c r="J27" s="404">
        <v>1</v>
      </c>
      <c r="K27" s="404">
        <v>1</v>
      </c>
      <c r="L27" s="404">
        <v>1</v>
      </c>
      <c r="M27" s="404">
        <v>1</v>
      </c>
      <c r="N27" s="404">
        <v>1</v>
      </c>
      <c r="O27" s="404">
        <v>1</v>
      </c>
      <c r="P27" s="404">
        <v>1</v>
      </c>
      <c r="Q27" s="404">
        <v>1</v>
      </c>
      <c r="R27" s="404">
        <v>1</v>
      </c>
      <c r="S27" s="404">
        <v>1</v>
      </c>
      <c r="T27" s="404">
        <v>1</v>
      </c>
      <c r="U27" s="404">
        <v>1</v>
      </c>
      <c r="V27" s="404">
        <v>1</v>
      </c>
      <c r="W27" s="404">
        <v>1</v>
      </c>
      <c r="X27" s="404">
        <v>1</v>
      </c>
      <c r="Y27" s="404">
        <v>1</v>
      </c>
    </row>
    <row r="28" spans="1:25" s="124" customFormat="1">
      <c r="A28" s="120" t="s">
        <v>241</v>
      </c>
      <c r="B28" s="125">
        <f>機械装置</f>
        <v>75383656.567680955</v>
      </c>
      <c r="C28" s="402">
        <f>共済!H4</f>
        <v>6.5000000000000006E-3</v>
      </c>
      <c r="D28" s="133">
        <f>B28</f>
        <v>75383656.567680955</v>
      </c>
      <c r="E28" s="133">
        <f>B28</f>
        <v>75383656.567680955</v>
      </c>
      <c r="F28" s="134">
        <f>$E$28*$C$28*F27</f>
        <v>489993.76768992626</v>
      </c>
      <c r="G28" s="134">
        <f t="shared" ref="G28:Y28" si="13">$E$28*$C$28*G27</f>
        <v>489993.76768992626</v>
      </c>
      <c r="H28" s="134">
        <f t="shared" si="13"/>
        <v>489993.76768992626</v>
      </c>
      <c r="I28" s="134">
        <f t="shared" si="13"/>
        <v>489993.76768992626</v>
      </c>
      <c r="J28" s="134">
        <f t="shared" si="13"/>
        <v>489993.76768992626</v>
      </c>
      <c r="K28" s="134">
        <f t="shared" si="13"/>
        <v>489993.76768992626</v>
      </c>
      <c r="L28" s="134">
        <f t="shared" si="13"/>
        <v>489993.76768992626</v>
      </c>
      <c r="M28" s="134">
        <f t="shared" si="13"/>
        <v>489993.76768992626</v>
      </c>
      <c r="N28" s="134">
        <f t="shared" si="13"/>
        <v>489993.76768992626</v>
      </c>
      <c r="O28" s="134">
        <f t="shared" si="13"/>
        <v>489993.76768992626</v>
      </c>
      <c r="P28" s="134">
        <f t="shared" si="13"/>
        <v>489993.76768992626</v>
      </c>
      <c r="Q28" s="134">
        <f t="shared" si="13"/>
        <v>489993.76768992626</v>
      </c>
      <c r="R28" s="134">
        <f t="shared" si="13"/>
        <v>489993.76768992626</v>
      </c>
      <c r="S28" s="134">
        <f t="shared" si="13"/>
        <v>489993.76768992626</v>
      </c>
      <c r="T28" s="134">
        <f t="shared" si="13"/>
        <v>489993.76768992626</v>
      </c>
      <c r="U28" s="134">
        <f t="shared" si="13"/>
        <v>489993.76768992626</v>
      </c>
      <c r="V28" s="134">
        <f t="shared" si="13"/>
        <v>489993.76768992626</v>
      </c>
      <c r="W28" s="134">
        <f t="shared" si="13"/>
        <v>489993.76768992626</v>
      </c>
      <c r="X28" s="134">
        <f t="shared" si="13"/>
        <v>489993.76768992626</v>
      </c>
      <c r="Y28" s="134">
        <f t="shared" si="13"/>
        <v>489993.76768992626</v>
      </c>
    </row>
    <row r="29" spans="1:25" s="124" customFormat="1">
      <c r="A29" s="132" t="s">
        <v>685</v>
      </c>
      <c r="B29" s="125"/>
      <c r="C29" s="125"/>
      <c r="D29" s="125"/>
      <c r="E29" s="132"/>
      <c r="F29" s="404">
        <v>1</v>
      </c>
      <c r="G29" s="404">
        <v>1</v>
      </c>
      <c r="H29" s="404">
        <v>1</v>
      </c>
      <c r="I29" s="404">
        <v>1</v>
      </c>
      <c r="J29" s="404">
        <v>1</v>
      </c>
      <c r="K29" s="404">
        <v>1</v>
      </c>
      <c r="L29" s="404">
        <v>1</v>
      </c>
      <c r="M29" s="404">
        <v>1</v>
      </c>
      <c r="N29" s="404">
        <v>1</v>
      </c>
      <c r="O29" s="404">
        <v>1</v>
      </c>
      <c r="P29" s="404">
        <v>1</v>
      </c>
      <c r="Q29" s="404">
        <v>1</v>
      </c>
      <c r="R29" s="404">
        <v>1</v>
      </c>
      <c r="S29" s="404">
        <v>1</v>
      </c>
      <c r="T29" s="404">
        <v>1</v>
      </c>
      <c r="U29" s="404">
        <v>1</v>
      </c>
      <c r="V29" s="404">
        <v>1</v>
      </c>
      <c r="W29" s="404">
        <v>1</v>
      </c>
      <c r="X29" s="404">
        <v>1</v>
      </c>
      <c r="Y29" s="404">
        <v>1</v>
      </c>
    </row>
    <row r="30" spans="1:25" s="124" customFormat="1">
      <c r="A30" s="120" t="s">
        <v>242</v>
      </c>
      <c r="B30" s="125">
        <f>建家</f>
        <v>3839540.792764951</v>
      </c>
      <c r="C30" s="402">
        <v>1.072E-3</v>
      </c>
      <c r="E30" s="133">
        <f>B30</f>
        <v>3839540.792764951</v>
      </c>
      <c r="F30" s="134">
        <f>$E$30*$C$30*F29</f>
        <v>4115.9877298440279</v>
      </c>
      <c r="G30" s="134">
        <f t="shared" ref="G30:Y30" si="14">$E$30*$C$30*G29</f>
        <v>4115.9877298440279</v>
      </c>
      <c r="H30" s="134">
        <f t="shared" si="14"/>
        <v>4115.9877298440279</v>
      </c>
      <c r="I30" s="134">
        <f t="shared" si="14"/>
        <v>4115.9877298440279</v>
      </c>
      <c r="J30" s="134">
        <f t="shared" si="14"/>
        <v>4115.9877298440279</v>
      </c>
      <c r="K30" s="134">
        <f t="shared" si="14"/>
        <v>4115.9877298440279</v>
      </c>
      <c r="L30" s="134">
        <f t="shared" si="14"/>
        <v>4115.9877298440279</v>
      </c>
      <c r="M30" s="134">
        <f t="shared" si="14"/>
        <v>4115.9877298440279</v>
      </c>
      <c r="N30" s="134">
        <f t="shared" si="14"/>
        <v>4115.9877298440279</v>
      </c>
      <c r="O30" s="134">
        <f t="shared" si="14"/>
        <v>4115.9877298440279</v>
      </c>
      <c r="P30" s="134">
        <f t="shared" si="14"/>
        <v>4115.9877298440279</v>
      </c>
      <c r="Q30" s="134">
        <f t="shared" si="14"/>
        <v>4115.9877298440279</v>
      </c>
      <c r="R30" s="134">
        <f t="shared" si="14"/>
        <v>4115.9877298440279</v>
      </c>
      <c r="S30" s="134">
        <f t="shared" si="14"/>
        <v>4115.9877298440279</v>
      </c>
      <c r="T30" s="134">
        <f t="shared" si="14"/>
        <v>4115.9877298440279</v>
      </c>
      <c r="U30" s="134">
        <f t="shared" si="14"/>
        <v>4115.9877298440279</v>
      </c>
      <c r="V30" s="134">
        <f t="shared" si="14"/>
        <v>4115.9877298440279</v>
      </c>
      <c r="W30" s="134">
        <f t="shared" si="14"/>
        <v>4115.9877298440279</v>
      </c>
      <c r="X30" s="134">
        <f t="shared" si="14"/>
        <v>4115.9877298440279</v>
      </c>
      <c r="Y30" s="134">
        <f t="shared" si="14"/>
        <v>4115.9877298440279</v>
      </c>
    </row>
    <row r="31" spans="1:25">
      <c r="E31" s="470" t="s">
        <v>517</v>
      </c>
      <c r="F31" s="471">
        <f>SUM(F28:F30)</f>
        <v>494110.75541977031</v>
      </c>
      <c r="G31" s="471">
        <f t="shared" ref="G31:Y31" si="15">SUM(G28:G30)</f>
        <v>494110.75541977031</v>
      </c>
      <c r="H31" s="471">
        <f t="shared" si="15"/>
        <v>494110.75541977031</v>
      </c>
      <c r="I31" s="471">
        <f t="shared" si="15"/>
        <v>494110.75541977031</v>
      </c>
      <c r="J31" s="471">
        <f t="shared" si="15"/>
        <v>494110.75541977031</v>
      </c>
      <c r="K31" s="471">
        <f t="shared" si="15"/>
        <v>494110.75541977031</v>
      </c>
      <c r="L31" s="471">
        <f t="shared" si="15"/>
        <v>494110.75541977031</v>
      </c>
      <c r="M31" s="471">
        <f t="shared" si="15"/>
        <v>494110.75541977031</v>
      </c>
      <c r="N31" s="471">
        <f t="shared" si="15"/>
        <v>494110.75541977031</v>
      </c>
      <c r="O31" s="471">
        <f t="shared" si="15"/>
        <v>494110.75541977031</v>
      </c>
      <c r="P31" s="471">
        <f t="shared" si="15"/>
        <v>494110.75541977031</v>
      </c>
      <c r="Q31" s="471">
        <f t="shared" si="15"/>
        <v>494110.75541977031</v>
      </c>
      <c r="R31" s="471">
        <f t="shared" si="15"/>
        <v>494110.75541977031</v>
      </c>
      <c r="S31" s="471">
        <f t="shared" si="15"/>
        <v>494110.75541977031</v>
      </c>
      <c r="T31" s="471">
        <f t="shared" si="15"/>
        <v>494110.75541977031</v>
      </c>
      <c r="U31" s="471">
        <f t="shared" si="15"/>
        <v>494110.75541977031</v>
      </c>
      <c r="V31" s="471">
        <f t="shared" si="15"/>
        <v>494110.75541977031</v>
      </c>
      <c r="W31" s="471">
        <f t="shared" si="15"/>
        <v>494110.75541977031</v>
      </c>
      <c r="X31" s="471">
        <f t="shared" si="15"/>
        <v>494110.75541977031</v>
      </c>
      <c r="Y31" s="472">
        <f t="shared" si="15"/>
        <v>494110.75541977031</v>
      </c>
    </row>
    <row r="32" spans="1:25">
      <c r="E32" s="467" t="s">
        <v>14</v>
      </c>
      <c r="F32" s="473">
        <f>F31</f>
        <v>494110.75541977031</v>
      </c>
      <c r="G32" s="473">
        <f>F32+G31</f>
        <v>988221.51083954063</v>
      </c>
      <c r="H32" s="473">
        <f t="shared" ref="H32:Y32" si="16">G32+H31</f>
        <v>1482332.266259311</v>
      </c>
      <c r="I32" s="473">
        <f t="shared" si="16"/>
        <v>1976443.0216790813</v>
      </c>
      <c r="J32" s="473">
        <f t="shared" si="16"/>
        <v>2470553.7770988517</v>
      </c>
      <c r="K32" s="473">
        <f t="shared" si="16"/>
        <v>2964664.532518622</v>
      </c>
      <c r="L32" s="473">
        <f t="shared" si="16"/>
        <v>3458775.2879383923</v>
      </c>
      <c r="M32" s="473">
        <f t="shared" si="16"/>
        <v>3952886.0433581625</v>
      </c>
      <c r="N32" s="473">
        <f t="shared" si="16"/>
        <v>4446996.7987779332</v>
      </c>
      <c r="O32" s="473">
        <f t="shared" si="16"/>
        <v>4941107.5541977035</v>
      </c>
      <c r="P32" s="473">
        <f t="shared" si="16"/>
        <v>5435218.3096174737</v>
      </c>
      <c r="Q32" s="473">
        <f t="shared" si="16"/>
        <v>5929329.065037244</v>
      </c>
      <c r="R32" s="473">
        <f t="shared" si="16"/>
        <v>6423439.8204570143</v>
      </c>
      <c r="S32" s="473">
        <f t="shared" si="16"/>
        <v>6917550.5758767845</v>
      </c>
      <c r="T32" s="473">
        <f t="shared" si="16"/>
        <v>7411661.3312965548</v>
      </c>
      <c r="U32" s="473">
        <f t="shared" si="16"/>
        <v>7905772.086716325</v>
      </c>
      <c r="V32" s="473">
        <f t="shared" si="16"/>
        <v>8399882.8421360962</v>
      </c>
      <c r="W32" s="473">
        <f t="shared" si="16"/>
        <v>8893993.5975558665</v>
      </c>
      <c r="X32" s="473">
        <f t="shared" si="16"/>
        <v>9388104.3529756367</v>
      </c>
      <c r="Y32" s="474">
        <f t="shared" si="16"/>
        <v>9882215.108395407</v>
      </c>
    </row>
  </sheetData>
  <sheetProtection password="C6F4" sheet="1" objects="1" scenarios="1"/>
  <phoneticPr fontId="6"/>
  <pageMargins left="0.78700000000000003" right="0.78700000000000003" top="0.98399999999999999" bottom="0.98399999999999999" header="0.51200000000000001" footer="0.51200000000000001"/>
  <pageSetup paperSize="0"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election activeCell="C7" sqref="C7"/>
    </sheetView>
  </sheetViews>
  <sheetFormatPr baseColWidth="12" defaultRowHeight="13" x14ac:dyDescent="0"/>
  <cols>
    <col min="2" max="2" width="16" bestFit="1" customWidth="1"/>
    <col min="3" max="3" width="23.59765625" bestFit="1" customWidth="1"/>
    <col min="7" max="7" width="0" hidden="1" customWidth="1"/>
  </cols>
  <sheetData>
    <row r="1" spans="1:8">
      <c r="A1" s="533" t="s">
        <v>689</v>
      </c>
    </row>
    <row r="2" spans="1:8" ht="17">
      <c r="A2" s="534" t="s">
        <v>615</v>
      </c>
      <c r="D2" s="13"/>
      <c r="E2" s="557" t="s">
        <v>493</v>
      </c>
      <c r="F2" s="558"/>
      <c r="G2" s="559"/>
      <c r="H2" s="560" t="s">
        <v>494</v>
      </c>
    </row>
    <row r="3" spans="1:8" ht="27">
      <c r="B3" s="71" t="s">
        <v>442</v>
      </c>
      <c r="C3" s="73" t="s">
        <v>443</v>
      </c>
      <c r="D3" s="72" t="s">
        <v>444</v>
      </c>
      <c r="E3" s="78" t="s">
        <v>495</v>
      </c>
      <c r="F3" s="78" t="s">
        <v>496</v>
      </c>
      <c r="G3" s="79" t="s">
        <v>497</v>
      </c>
      <c r="H3" s="561"/>
    </row>
    <row r="4" spans="1:8" ht="14">
      <c r="B4" s="68" t="s">
        <v>445</v>
      </c>
      <c r="C4" s="74" t="s">
        <v>446</v>
      </c>
      <c r="D4" s="523">
        <v>2.6</v>
      </c>
      <c r="E4" s="524">
        <v>50</v>
      </c>
      <c r="F4" s="524">
        <v>50</v>
      </c>
      <c r="G4" s="83"/>
      <c r="H4" s="530">
        <f>(D4/100)*(E4/100)*(F4/100)</f>
        <v>6.5000000000000006E-3</v>
      </c>
    </row>
    <row r="5" spans="1:8" ht="14">
      <c r="B5" s="69"/>
      <c r="C5" s="75" t="s">
        <v>447</v>
      </c>
      <c r="D5" s="525">
        <v>2.6</v>
      </c>
      <c r="E5" s="526">
        <v>50</v>
      </c>
      <c r="F5" s="526">
        <v>50</v>
      </c>
      <c r="G5" s="81"/>
      <c r="H5" s="531">
        <f t="shared" ref="H5:H47" si="0">(D5/100)*(E5/100)*(F5/100)</f>
        <v>6.5000000000000006E-3</v>
      </c>
    </row>
    <row r="6" spans="1:8" ht="14">
      <c r="B6" s="69"/>
      <c r="C6" s="75" t="s">
        <v>448</v>
      </c>
      <c r="D6" s="525">
        <v>2.6</v>
      </c>
      <c r="E6" s="526">
        <v>50</v>
      </c>
      <c r="F6" s="526">
        <v>50</v>
      </c>
      <c r="G6" s="81"/>
      <c r="H6" s="531">
        <f t="shared" si="0"/>
        <v>6.5000000000000006E-3</v>
      </c>
    </row>
    <row r="7" spans="1:8" ht="14">
      <c r="B7" s="69"/>
      <c r="C7" s="75" t="s">
        <v>449</v>
      </c>
      <c r="D7" s="525">
        <v>2.6</v>
      </c>
      <c r="E7" s="526">
        <v>50</v>
      </c>
      <c r="F7" s="526">
        <v>50</v>
      </c>
      <c r="G7" s="81"/>
      <c r="H7" s="531">
        <f t="shared" si="0"/>
        <v>6.5000000000000006E-3</v>
      </c>
    </row>
    <row r="8" spans="1:8" ht="14">
      <c r="B8" s="69"/>
      <c r="C8" s="76" t="s">
        <v>450</v>
      </c>
      <c r="D8" s="525">
        <v>2.6</v>
      </c>
      <c r="E8" s="526">
        <v>50</v>
      </c>
      <c r="F8" s="526">
        <v>50</v>
      </c>
      <c r="G8" s="81"/>
      <c r="H8" s="531">
        <f t="shared" si="0"/>
        <v>6.5000000000000006E-3</v>
      </c>
    </row>
    <row r="9" spans="1:8" ht="14">
      <c r="B9" s="69"/>
      <c r="C9" s="75" t="s">
        <v>451</v>
      </c>
      <c r="D9" s="525">
        <v>2.6</v>
      </c>
      <c r="E9" s="526">
        <v>50</v>
      </c>
      <c r="F9" s="526">
        <v>50</v>
      </c>
      <c r="G9" s="81"/>
      <c r="H9" s="531">
        <f t="shared" si="0"/>
        <v>6.5000000000000006E-3</v>
      </c>
    </row>
    <row r="10" spans="1:8" ht="14">
      <c r="B10" s="69"/>
      <c r="C10" s="75" t="s">
        <v>452</v>
      </c>
      <c r="D10" s="525">
        <v>2.6</v>
      </c>
      <c r="E10" s="526">
        <v>50</v>
      </c>
      <c r="F10" s="526">
        <v>50</v>
      </c>
      <c r="G10" s="81"/>
      <c r="H10" s="531">
        <f t="shared" si="0"/>
        <v>6.5000000000000006E-3</v>
      </c>
    </row>
    <row r="11" spans="1:8" ht="14">
      <c r="B11" s="69"/>
      <c r="C11" s="75" t="s">
        <v>453</v>
      </c>
      <c r="D11" s="525">
        <v>2.6</v>
      </c>
      <c r="E11" s="526">
        <v>50</v>
      </c>
      <c r="F11" s="526">
        <v>50</v>
      </c>
      <c r="G11" s="81"/>
      <c r="H11" s="531">
        <f t="shared" si="0"/>
        <v>6.5000000000000006E-3</v>
      </c>
    </row>
    <row r="12" spans="1:8" ht="14">
      <c r="B12" s="69"/>
      <c r="C12" s="75" t="s">
        <v>454</v>
      </c>
      <c r="D12" s="525">
        <v>2.6</v>
      </c>
      <c r="E12" s="526">
        <v>50</v>
      </c>
      <c r="F12" s="526">
        <v>50</v>
      </c>
      <c r="G12" s="81"/>
      <c r="H12" s="531">
        <f t="shared" si="0"/>
        <v>6.5000000000000006E-3</v>
      </c>
    </row>
    <row r="13" spans="1:8" ht="14">
      <c r="B13" s="69"/>
      <c r="C13" s="75" t="s">
        <v>455</v>
      </c>
      <c r="D13" s="525">
        <v>2.6</v>
      </c>
      <c r="E13" s="526">
        <v>50</v>
      </c>
      <c r="F13" s="526">
        <v>50</v>
      </c>
      <c r="G13" s="81"/>
      <c r="H13" s="531">
        <f t="shared" si="0"/>
        <v>6.5000000000000006E-3</v>
      </c>
    </row>
    <row r="14" spans="1:8" ht="14">
      <c r="B14" s="69"/>
      <c r="C14" s="75" t="s">
        <v>456</v>
      </c>
      <c r="D14" s="525">
        <v>2.6</v>
      </c>
      <c r="E14" s="526">
        <v>50</v>
      </c>
      <c r="F14" s="526">
        <v>50</v>
      </c>
      <c r="G14" s="81"/>
      <c r="H14" s="531">
        <f t="shared" si="0"/>
        <v>6.5000000000000006E-3</v>
      </c>
    </row>
    <row r="15" spans="1:8" ht="14">
      <c r="B15" s="70"/>
      <c r="C15" s="77" t="s">
        <v>457</v>
      </c>
      <c r="D15" s="527">
        <v>2.6</v>
      </c>
      <c r="E15" s="528">
        <v>50</v>
      </c>
      <c r="F15" s="528">
        <v>50</v>
      </c>
      <c r="G15" s="80"/>
      <c r="H15" s="532">
        <f t="shared" si="0"/>
        <v>6.5000000000000006E-3</v>
      </c>
    </row>
    <row r="16" spans="1:8" ht="14">
      <c r="B16" s="68" t="s">
        <v>458</v>
      </c>
      <c r="C16" s="74" t="s">
        <v>459</v>
      </c>
      <c r="D16" s="523">
        <v>3.9</v>
      </c>
      <c r="E16" s="524">
        <v>50</v>
      </c>
      <c r="F16" s="524">
        <v>50</v>
      </c>
      <c r="G16" s="83"/>
      <c r="H16" s="530">
        <f t="shared" si="0"/>
        <v>9.75E-3</v>
      </c>
    </row>
    <row r="17" spans="2:8" ht="14">
      <c r="B17" s="69"/>
      <c r="C17" s="75" t="s">
        <v>460</v>
      </c>
      <c r="D17" s="525">
        <v>3.9</v>
      </c>
      <c r="E17" s="526">
        <v>50</v>
      </c>
      <c r="F17" s="526">
        <v>50</v>
      </c>
      <c r="G17" s="81"/>
      <c r="H17" s="531">
        <f t="shared" si="0"/>
        <v>9.75E-3</v>
      </c>
    </row>
    <row r="18" spans="2:8" ht="14">
      <c r="B18" s="69"/>
      <c r="C18" s="75" t="s">
        <v>461</v>
      </c>
      <c r="D18" s="525">
        <v>3.9</v>
      </c>
      <c r="E18" s="526">
        <v>50</v>
      </c>
      <c r="F18" s="526">
        <v>50</v>
      </c>
      <c r="G18" s="81"/>
      <c r="H18" s="531">
        <f t="shared" si="0"/>
        <v>9.75E-3</v>
      </c>
    </row>
    <row r="19" spans="2:8" ht="14">
      <c r="B19" s="69"/>
      <c r="C19" s="75" t="s">
        <v>462</v>
      </c>
      <c r="D19" s="525">
        <v>3.9</v>
      </c>
      <c r="E19" s="526">
        <v>50</v>
      </c>
      <c r="F19" s="526">
        <v>50</v>
      </c>
      <c r="G19" s="81"/>
      <c r="H19" s="531">
        <f t="shared" si="0"/>
        <v>9.75E-3</v>
      </c>
    </row>
    <row r="20" spans="2:8" ht="14">
      <c r="B20" s="69"/>
      <c r="C20" s="75" t="s">
        <v>463</v>
      </c>
      <c r="D20" s="525">
        <v>3.9</v>
      </c>
      <c r="E20" s="526">
        <v>50</v>
      </c>
      <c r="F20" s="526">
        <v>50</v>
      </c>
      <c r="G20" s="81"/>
      <c r="H20" s="531">
        <f t="shared" si="0"/>
        <v>9.75E-3</v>
      </c>
    </row>
    <row r="21" spans="2:8" ht="14">
      <c r="B21" s="69"/>
      <c r="C21" s="75" t="s">
        <v>464</v>
      </c>
      <c r="D21" s="525">
        <v>3.9</v>
      </c>
      <c r="E21" s="526">
        <v>50</v>
      </c>
      <c r="F21" s="526">
        <v>50</v>
      </c>
      <c r="G21" s="81"/>
      <c r="H21" s="531">
        <f t="shared" si="0"/>
        <v>9.75E-3</v>
      </c>
    </row>
    <row r="22" spans="2:8" ht="14">
      <c r="B22" s="69"/>
      <c r="C22" s="75" t="s">
        <v>465</v>
      </c>
      <c r="D22" s="525">
        <v>3.9</v>
      </c>
      <c r="E22" s="526">
        <v>50</v>
      </c>
      <c r="F22" s="526">
        <v>50</v>
      </c>
      <c r="G22" s="81"/>
      <c r="H22" s="531">
        <f t="shared" si="0"/>
        <v>9.75E-3</v>
      </c>
    </row>
    <row r="23" spans="2:8" ht="14">
      <c r="B23" s="69"/>
      <c r="C23" s="75" t="s">
        <v>466</v>
      </c>
      <c r="D23" s="525">
        <v>3.9</v>
      </c>
      <c r="E23" s="526">
        <v>50</v>
      </c>
      <c r="F23" s="526">
        <v>50</v>
      </c>
      <c r="G23" s="81"/>
      <c r="H23" s="531">
        <f t="shared" si="0"/>
        <v>9.75E-3</v>
      </c>
    </row>
    <row r="24" spans="2:8" ht="14">
      <c r="B24" s="69"/>
      <c r="C24" s="75" t="s">
        <v>467</v>
      </c>
      <c r="D24" s="525">
        <v>3.9</v>
      </c>
      <c r="E24" s="526">
        <v>50</v>
      </c>
      <c r="F24" s="526">
        <v>50</v>
      </c>
      <c r="G24" s="81"/>
      <c r="H24" s="531">
        <f t="shared" si="0"/>
        <v>9.75E-3</v>
      </c>
    </row>
    <row r="25" spans="2:8" ht="14">
      <c r="B25" s="69"/>
      <c r="C25" s="76" t="s">
        <v>468</v>
      </c>
      <c r="D25" s="525">
        <v>3.9</v>
      </c>
      <c r="E25" s="526">
        <v>50</v>
      </c>
      <c r="F25" s="526">
        <v>50</v>
      </c>
      <c r="G25" s="81"/>
      <c r="H25" s="531">
        <f t="shared" si="0"/>
        <v>9.75E-3</v>
      </c>
    </row>
    <row r="26" spans="2:8" ht="14">
      <c r="B26" s="69"/>
      <c r="C26" s="75" t="s">
        <v>469</v>
      </c>
      <c r="D26" s="525">
        <v>3.9</v>
      </c>
      <c r="E26" s="526">
        <v>50</v>
      </c>
      <c r="F26" s="526">
        <v>50</v>
      </c>
      <c r="G26" s="81"/>
      <c r="H26" s="531">
        <f t="shared" si="0"/>
        <v>9.75E-3</v>
      </c>
    </row>
    <row r="27" spans="2:8" ht="14">
      <c r="B27" s="70"/>
      <c r="C27" s="77" t="s">
        <v>470</v>
      </c>
      <c r="D27" s="527">
        <v>3.9</v>
      </c>
      <c r="E27" s="529">
        <v>50</v>
      </c>
      <c r="F27" s="529">
        <v>50</v>
      </c>
      <c r="G27" s="82"/>
      <c r="H27" s="532">
        <f t="shared" si="0"/>
        <v>9.75E-3</v>
      </c>
    </row>
    <row r="28" spans="2:8" ht="14">
      <c r="B28" s="68" t="s">
        <v>471</v>
      </c>
      <c r="C28" s="74" t="s">
        <v>487</v>
      </c>
      <c r="D28" s="523">
        <v>4.8</v>
      </c>
      <c r="E28" s="524">
        <v>50</v>
      </c>
      <c r="F28" s="524">
        <v>50</v>
      </c>
      <c r="G28" s="83"/>
      <c r="H28" s="530">
        <f t="shared" si="0"/>
        <v>1.2E-2</v>
      </c>
    </row>
    <row r="29" spans="2:8" ht="14">
      <c r="B29" s="69"/>
      <c r="C29" s="75" t="s">
        <v>488</v>
      </c>
      <c r="D29" s="525">
        <v>4.8</v>
      </c>
      <c r="E29" s="526">
        <v>50</v>
      </c>
      <c r="F29" s="526">
        <v>50</v>
      </c>
      <c r="G29" s="81"/>
      <c r="H29" s="531">
        <f t="shared" si="0"/>
        <v>1.2E-2</v>
      </c>
    </row>
    <row r="30" spans="2:8" ht="14">
      <c r="B30" s="69"/>
      <c r="C30" s="75" t="s">
        <v>491</v>
      </c>
      <c r="D30" s="525">
        <v>4.8</v>
      </c>
      <c r="E30" s="526">
        <v>50</v>
      </c>
      <c r="F30" s="526">
        <v>50</v>
      </c>
      <c r="G30" s="81"/>
      <c r="H30" s="531">
        <f t="shared" si="0"/>
        <v>1.2E-2</v>
      </c>
    </row>
    <row r="31" spans="2:8" ht="14">
      <c r="B31" s="69"/>
      <c r="C31" s="75" t="s">
        <v>492</v>
      </c>
      <c r="D31" s="525">
        <v>4.8</v>
      </c>
      <c r="E31" s="526">
        <v>50</v>
      </c>
      <c r="F31" s="526">
        <v>50</v>
      </c>
      <c r="G31" s="81"/>
      <c r="H31" s="531">
        <f t="shared" si="0"/>
        <v>1.2E-2</v>
      </c>
    </row>
    <row r="32" spans="2:8" ht="14">
      <c r="B32" s="69"/>
      <c r="C32" s="75" t="s">
        <v>489</v>
      </c>
      <c r="D32" s="525">
        <v>6.6</v>
      </c>
      <c r="E32" s="526">
        <v>50</v>
      </c>
      <c r="F32" s="526">
        <v>50</v>
      </c>
      <c r="G32" s="81"/>
      <c r="H32" s="531">
        <f t="shared" si="0"/>
        <v>1.6500000000000001E-2</v>
      </c>
    </row>
    <row r="33" spans="2:8" ht="14">
      <c r="B33" s="69"/>
      <c r="C33" s="75" t="s">
        <v>490</v>
      </c>
      <c r="D33" s="525">
        <v>6.6</v>
      </c>
      <c r="E33" s="526">
        <v>50</v>
      </c>
      <c r="F33" s="526">
        <v>50</v>
      </c>
      <c r="G33" s="81"/>
      <c r="H33" s="531">
        <f t="shared" si="0"/>
        <v>1.6500000000000001E-2</v>
      </c>
    </row>
    <row r="34" spans="2:8" ht="14">
      <c r="B34" s="69"/>
      <c r="C34" s="75" t="s">
        <v>472</v>
      </c>
      <c r="D34" s="525">
        <v>6.6</v>
      </c>
      <c r="E34" s="526">
        <v>50</v>
      </c>
      <c r="F34" s="526">
        <v>50</v>
      </c>
      <c r="G34" s="81"/>
      <c r="H34" s="531">
        <f t="shared" si="0"/>
        <v>1.6500000000000001E-2</v>
      </c>
    </row>
    <row r="35" spans="2:8" ht="14">
      <c r="B35" s="69"/>
      <c r="C35" s="77" t="s">
        <v>473</v>
      </c>
      <c r="D35" s="527">
        <v>6.6</v>
      </c>
      <c r="E35" s="529">
        <v>50</v>
      </c>
      <c r="F35" s="529">
        <v>50</v>
      </c>
      <c r="G35" s="82"/>
      <c r="H35" s="532">
        <f t="shared" si="0"/>
        <v>1.6500000000000001E-2</v>
      </c>
    </row>
    <row r="36" spans="2:8" ht="14">
      <c r="B36" s="68" t="s">
        <v>474</v>
      </c>
      <c r="C36" s="74" t="s">
        <v>475</v>
      </c>
      <c r="D36" s="523">
        <v>1.6</v>
      </c>
      <c r="E36" s="524">
        <v>50</v>
      </c>
      <c r="F36" s="524">
        <v>50</v>
      </c>
      <c r="G36" s="83"/>
      <c r="H36" s="530">
        <f t="shared" si="0"/>
        <v>4.0000000000000001E-3</v>
      </c>
    </row>
    <row r="37" spans="2:8" ht="14">
      <c r="B37" s="69"/>
      <c r="C37" s="75" t="s">
        <v>476</v>
      </c>
      <c r="D37" s="525">
        <v>1.6</v>
      </c>
      <c r="E37" s="526">
        <v>50</v>
      </c>
      <c r="F37" s="526">
        <v>50</v>
      </c>
      <c r="G37" s="81"/>
      <c r="H37" s="531">
        <f t="shared" si="0"/>
        <v>4.0000000000000001E-3</v>
      </c>
    </row>
    <row r="38" spans="2:8" ht="14">
      <c r="B38" s="69"/>
      <c r="C38" s="75" t="s">
        <v>477</v>
      </c>
      <c r="D38" s="525">
        <v>1.6</v>
      </c>
      <c r="E38" s="526">
        <v>50</v>
      </c>
      <c r="F38" s="526">
        <v>50</v>
      </c>
      <c r="G38" s="81"/>
      <c r="H38" s="531">
        <f t="shared" si="0"/>
        <v>4.0000000000000001E-3</v>
      </c>
    </row>
    <row r="39" spans="2:8" ht="14">
      <c r="B39" s="69"/>
      <c r="C39" s="75" t="s">
        <v>478</v>
      </c>
      <c r="D39" s="525">
        <v>1.6</v>
      </c>
      <c r="E39" s="526">
        <v>50</v>
      </c>
      <c r="F39" s="526">
        <v>50</v>
      </c>
      <c r="G39" s="81"/>
      <c r="H39" s="531">
        <f t="shared" si="0"/>
        <v>4.0000000000000001E-3</v>
      </c>
    </row>
    <row r="40" spans="2:8" ht="14">
      <c r="B40" s="69"/>
      <c r="C40" s="75" t="s">
        <v>479</v>
      </c>
      <c r="D40" s="525">
        <v>1.6</v>
      </c>
      <c r="E40" s="526">
        <v>50</v>
      </c>
      <c r="F40" s="526">
        <v>50</v>
      </c>
      <c r="G40" s="81"/>
      <c r="H40" s="531">
        <f t="shared" si="0"/>
        <v>4.0000000000000001E-3</v>
      </c>
    </row>
    <row r="41" spans="2:8" ht="14">
      <c r="B41" s="69"/>
      <c r="C41" s="75" t="s">
        <v>480</v>
      </c>
      <c r="D41" s="525">
        <v>1.6</v>
      </c>
      <c r="E41" s="526">
        <v>50</v>
      </c>
      <c r="F41" s="526">
        <v>50</v>
      </c>
      <c r="G41" s="81"/>
      <c r="H41" s="531">
        <f t="shared" si="0"/>
        <v>4.0000000000000001E-3</v>
      </c>
    </row>
    <row r="42" spans="2:8" ht="14">
      <c r="B42" s="69"/>
      <c r="C42" s="75" t="s">
        <v>481</v>
      </c>
      <c r="D42" s="525">
        <v>1.6</v>
      </c>
      <c r="E42" s="526">
        <v>50</v>
      </c>
      <c r="F42" s="526">
        <v>50</v>
      </c>
      <c r="G42" s="81"/>
      <c r="H42" s="531">
        <f t="shared" si="0"/>
        <v>4.0000000000000001E-3</v>
      </c>
    </row>
    <row r="43" spans="2:8" ht="14">
      <c r="B43" s="69"/>
      <c r="C43" s="75" t="s">
        <v>482</v>
      </c>
      <c r="D43" s="525">
        <v>1.6</v>
      </c>
      <c r="E43" s="526">
        <v>50</v>
      </c>
      <c r="F43" s="526">
        <v>50</v>
      </c>
      <c r="G43" s="81"/>
      <c r="H43" s="531">
        <f t="shared" si="0"/>
        <v>4.0000000000000001E-3</v>
      </c>
    </row>
    <row r="44" spans="2:8" ht="14">
      <c r="B44" s="69"/>
      <c r="C44" s="75" t="s">
        <v>483</v>
      </c>
      <c r="D44" s="525">
        <v>1.6</v>
      </c>
      <c r="E44" s="526">
        <v>50</v>
      </c>
      <c r="F44" s="526">
        <v>50</v>
      </c>
      <c r="G44" s="81"/>
      <c r="H44" s="531">
        <f t="shared" si="0"/>
        <v>4.0000000000000001E-3</v>
      </c>
    </row>
    <row r="45" spans="2:8" ht="14">
      <c r="B45" s="69"/>
      <c r="C45" s="75" t="s">
        <v>484</v>
      </c>
      <c r="D45" s="525">
        <v>1.6</v>
      </c>
      <c r="E45" s="526">
        <v>50</v>
      </c>
      <c r="F45" s="526">
        <v>50</v>
      </c>
      <c r="G45" s="81"/>
      <c r="H45" s="531">
        <f t="shared" si="0"/>
        <v>4.0000000000000001E-3</v>
      </c>
    </row>
    <row r="46" spans="2:8" ht="14">
      <c r="B46" s="69"/>
      <c r="C46" s="75" t="s">
        <v>485</v>
      </c>
      <c r="D46" s="525">
        <v>1.6</v>
      </c>
      <c r="E46" s="526">
        <v>50</v>
      </c>
      <c r="F46" s="526">
        <v>50</v>
      </c>
      <c r="G46" s="81"/>
      <c r="H46" s="531">
        <f t="shared" si="0"/>
        <v>4.0000000000000001E-3</v>
      </c>
    </row>
    <row r="47" spans="2:8" ht="14">
      <c r="B47" s="70"/>
      <c r="C47" s="77" t="s">
        <v>486</v>
      </c>
      <c r="D47" s="527">
        <v>1.6</v>
      </c>
      <c r="E47" s="529">
        <v>50</v>
      </c>
      <c r="F47" s="529">
        <v>50</v>
      </c>
      <c r="G47" s="82"/>
      <c r="H47" s="532">
        <f t="shared" si="0"/>
        <v>4.0000000000000001E-3</v>
      </c>
    </row>
    <row r="50" spans="1:1" s="1" customFormat="1" ht="17">
      <c r="A50" s="535" t="s">
        <v>690</v>
      </c>
    </row>
  </sheetData>
  <sheetProtection password="C6F4" sheet="1" objects="1" scenarios="1"/>
  <mergeCells count="2">
    <mergeCell ref="E2:G2"/>
    <mergeCell ref="H2:H3"/>
  </mergeCells>
  <phoneticPr fontId="6"/>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election activeCell="C7" sqref="C7"/>
    </sheetView>
  </sheetViews>
  <sheetFormatPr baseColWidth="12" defaultColWidth="17.3984375" defaultRowHeight="18" x14ac:dyDescent="0"/>
  <cols>
    <col min="1" max="1" width="17.3984375" style="5"/>
    <col min="2" max="2" width="45.59765625" style="5" customWidth="1"/>
    <col min="3" max="3" width="57.59765625" style="5" bestFit="1" customWidth="1"/>
    <col min="4" max="4" width="19.3984375" style="5" customWidth="1"/>
    <col min="5" max="5" width="18.3984375" style="6" bestFit="1" customWidth="1"/>
    <col min="6" max="11" width="14.796875" style="5" customWidth="1"/>
    <col min="12" max="256" width="17.3984375" style="5"/>
    <col min="257" max="257" width="52.19921875" style="5" customWidth="1"/>
    <col min="258" max="258" width="45.3984375" style="5" customWidth="1"/>
    <col min="259" max="259" width="17.3984375" style="5"/>
    <col min="260" max="267" width="14.796875" style="5" customWidth="1"/>
    <col min="268" max="512" width="17.3984375" style="5"/>
    <col min="513" max="513" width="52.19921875" style="5" customWidth="1"/>
    <col min="514" max="514" width="45.3984375" style="5" customWidth="1"/>
    <col min="515" max="515" width="17.3984375" style="5"/>
    <col min="516" max="523" width="14.796875" style="5" customWidth="1"/>
    <col min="524" max="768" width="17.3984375" style="5"/>
    <col min="769" max="769" width="52.19921875" style="5" customWidth="1"/>
    <col min="770" max="770" width="45.3984375" style="5" customWidth="1"/>
    <col min="771" max="771" width="17.3984375" style="5"/>
    <col min="772" max="779" width="14.796875" style="5" customWidth="1"/>
    <col min="780" max="1024" width="17.3984375" style="5"/>
    <col min="1025" max="1025" width="52.19921875" style="5" customWidth="1"/>
    <col min="1026" max="1026" width="45.3984375" style="5" customWidth="1"/>
    <col min="1027" max="1027" width="17.3984375" style="5"/>
    <col min="1028" max="1035" width="14.796875" style="5" customWidth="1"/>
    <col min="1036" max="1280" width="17.3984375" style="5"/>
    <col min="1281" max="1281" width="52.19921875" style="5" customWidth="1"/>
    <col min="1282" max="1282" width="45.3984375" style="5" customWidth="1"/>
    <col min="1283" max="1283" width="17.3984375" style="5"/>
    <col min="1284" max="1291" width="14.796875" style="5" customWidth="1"/>
    <col min="1292" max="1536" width="17.3984375" style="5"/>
    <col min="1537" max="1537" width="52.19921875" style="5" customWidth="1"/>
    <col min="1538" max="1538" width="45.3984375" style="5" customWidth="1"/>
    <col min="1539" max="1539" width="17.3984375" style="5"/>
    <col min="1540" max="1547" width="14.796875" style="5" customWidth="1"/>
    <col min="1548" max="1792" width="17.3984375" style="5"/>
    <col min="1793" max="1793" width="52.19921875" style="5" customWidth="1"/>
    <col min="1794" max="1794" width="45.3984375" style="5" customWidth="1"/>
    <col min="1795" max="1795" width="17.3984375" style="5"/>
    <col min="1796" max="1803" width="14.796875" style="5" customWidth="1"/>
    <col min="1804" max="2048" width="17.3984375" style="5"/>
    <col min="2049" max="2049" width="52.19921875" style="5" customWidth="1"/>
    <col min="2050" max="2050" width="45.3984375" style="5" customWidth="1"/>
    <col min="2051" max="2051" width="17.3984375" style="5"/>
    <col min="2052" max="2059" width="14.796875" style="5" customWidth="1"/>
    <col min="2060" max="2304" width="17.3984375" style="5"/>
    <col min="2305" max="2305" width="52.19921875" style="5" customWidth="1"/>
    <col min="2306" max="2306" width="45.3984375" style="5" customWidth="1"/>
    <col min="2307" max="2307" width="17.3984375" style="5"/>
    <col min="2308" max="2315" width="14.796875" style="5" customWidth="1"/>
    <col min="2316" max="2560" width="17.3984375" style="5"/>
    <col min="2561" max="2561" width="52.19921875" style="5" customWidth="1"/>
    <col min="2562" max="2562" width="45.3984375" style="5" customWidth="1"/>
    <col min="2563" max="2563" width="17.3984375" style="5"/>
    <col min="2564" max="2571" width="14.796875" style="5" customWidth="1"/>
    <col min="2572" max="2816" width="17.3984375" style="5"/>
    <col min="2817" max="2817" width="52.19921875" style="5" customWidth="1"/>
    <col min="2818" max="2818" width="45.3984375" style="5" customWidth="1"/>
    <col min="2819" max="2819" width="17.3984375" style="5"/>
    <col min="2820" max="2827" width="14.796875" style="5" customWidth="1"/>
    <col min="2828" max="3072" width="17.3984375" style="5"/>
    <col min="3073" max="3073" width="52.19921875" style="5" customWidth="1"/>
    <col min="3074" max="3074" width="45.3984375" style="5" customWidth="1"/>
    <col min="3075" max="3075" width="17.3984375" style="5"/>
    <col min="3076" max="3083" width="14.796875" style="5" customWidth="1"/>
    <col min="3084" max="3328" width="17.3984375" style="5"/>
    <col min="3329" max="3329" width="52.19921875" style="5" customWidth="1"/>
    <col min="3330" max="3330" width="45.3984375" style="5" customWidth="1"/>
    <col min="3331" max="3331" width="17.3984375" style="5"/>
    <col min="3332" max="3339" width="14.796875" style="5" customWidth="1"/>
    <col min="3340" max="3584" width="17.3984375" style="5"/>
    <col min="3585" max="3585" width="52.19921875" style="5" customWidth="1"/>
    <col min="3586" max="3586" width="45.3984375" style="5" customWidth="1"/>
    <col min="3587" max="3587" width="17.3984375" style="5"/>
    <col min="3588" max="3595" width="14.796875" style="5" customWidth="1"/>
    <col min="3596" max="3840" width="17.3984375" style="5"/>
    <col min="3841" max="3841" width="52.19921875" style="5" customWidth="1"/>
    <col min="3842" max="3842" width="45.3984375" style="5" customWidth="1"/>
    <col min="3843" max="3843" width="17.3984375" style="5"/>
    <col min="3844" max="3851" width="14.796875" style="5" customWidth="1"/>
    <col min="3852" max="4096" width="17.3984375" style="5"/>
    <col min="4097" max="4097" width="52.19921875" style="5" customWidth="1"/>
    <col min="4098" max="4098" width="45.3984375" style="5" customWidth="1"/>
    <col min="4099" max="4099" width="17.3984375" style="5"/>
    <col min="4100" max="4107" width="14.796875" style="5" customWidth="1"/>
    <col min="4108" max="4352" width="17.3984375" style="5"/>
    <col min="4353" max="4353" width="52.19921875" style="5" customWidth="1"/>
    <col min="4354" max="4354" width="45.3984375" style="5" customWidth="1"/>
    <col min="4355" max="4355" width="17.3984375" style="5"/>
    <col min="4356" max="4363" width="14.796875" style="5" customWidth="1"/>
    <col min="4364" max="4608" width="17.3984375" style="5"/>
    <col min="4609" max="4609" width="52.19921875" style="5" customWidth="1"/>
    <col min="4610" max="4610" width="45.3984375" style="5" customWidth="1"/>
    <col min="4611" max="4611" width="17.3984375" style="5"/>
    <col min="4612" max="4619" width="14.796875" style="5" customWidth="1"/>
    <col min="4620" max="4864" width="17.3984375" style="5"/>
    <col min="4865" max="4865" width="52.19921875" style="5" customWidth="1"/>
    <col min="4866" max="4866" width="45.3984375" style="5" customWidth="1"/>
    <col min="4867" max="4867" width="17.3984375" style="5"/>
    <col min="4868" max="4875" width="14.796875" style="5" customWidth="1"/>
    <col min="4876" max="5120" width="17.3984375" style="5"/>
    <col min="5121" max="5121" width="52.19921875" style="5" customWidth="1"/>
    <col min="5122" max="5122" width="45.3984375" style="5" customWidth="1"/>
    <col min="5123" max="5123" width="17.3984375" style="5"/>
    <col min="5124" max="5131" width="14.796875" style="5" customWidth="1"/>
    <col min="5132" max="5376" width="17.3984375" style="5"/>
    <col min="5377" max="5377" width="52.19921875" style="5" customWidth="1"/>
    <col min="5378" max="5378" width="45.3984375" style="5" customWidth="1"/>
    <col min="5379" max="5379" width="17.3984375" style="5"/>
    <col min="5380" max="5387" width="14.796875" style="5" customWidth="1"/>
    <col min="5388" max="5632" width="17.3984375" style="5"/>
    <col min="5633" max="5633" width="52.19921875" style="5" customWidth="1"/>
    <col min="5634" max="5634" width="45.3984375" style="5" customWidth="1"/>
    <col min="5635" max="5635" width="17.3984375" style="5"/>
    <col min="5636" max="5643" width="14.796875" style="5" customWidth="1"/>
    <col min="5644" max="5888" width="17.3984375" style="5"/>
    <col min="5889" max="5889" width="52.19921875" style="5" customWidth="1"/>
    <col min="5890" max="5890" width="45.3984375" style="5" customWidth="1"/>
    <col min="5891" max="5891" width="17.3984375" style="5"/>
    <col min="5892" max="5899" width="14.796875" style="5" customWidth="1"/>
    <col min="5900" max="6144" width="17.3984375" style="5"/>
    <col min="6145" max="6145" width="52.19921875" style="5" customWidth="1"/>
    <col min="6146" max="6146" width="45.3984375" style="5" customWidth="1"/>
    <col min="6147" max="6147" width="17.3984375" style="5"/>
    <col min="6148" max="6155" width="14.796875" style="5" customWidth="1"/>
    <col min="6156" max="6400" width="17.3984375" style="5"/>
    <col min="6401" max="6401" width="52.19921875" style="5" customWidth="1"/>
    <col min="6402" max="6402" width="45.3984375" style="5" customWidth="1"/>
    <col min="6403" max="6403" width="17.3984375" style="5"/>
    <col min="6404" max="6411" width="14.796875" style="5" customWidth="1"/>
    <col min="6412" max="6656" width="17.3984375" style="5"/>
    <col min="6657" max="6657" width="52.19921875" style="5" customWidth="1"/>
    <col min="6658" max="6658" width="45.3984375" style="5" customWidth="1"/>
    <col min="6659" max="6659" width="17.3984375" style="5"/>
    <col min="6660" max="6667" width="14.796875" style="5" customWidth="1"/>
    <col min="6668" max="6912" width="17.3984375" style="5"/>
    <col min="6913" max="6913" width="52.19921875" style="5" customWidth="1"/>
    <col min="6914" max="6914" width="45.3984375" style="5" customWidth="1"/>
    <col min="6915" max="6915" width="17.3984375" style="5"/>
    <col min="6916" max="6923" width="14.796875" style="5" customWidth="1"/>
    <col min="6924" max="7168" width="17.3984375" style="5"/>
    <col min="7169" max="7169" width="52.19921875" style="5" customWidth="1"/>
    <col min="7170" max="7170" width="45.3984375" style="5" customWidth="1"/>
    <col min="7171" max="7171" width="17.3984375" style="5"/>
    <col min="7172" max="7179" width="14.796875" style="5" customWidth="1"/>
    <col min="7180" max="7424" width="17.3984375" style="5"/>
    <col min="7425" max="7425" width="52.19921875" style="5" customWidth="1"/>
    <col min="7426" max="7426" width="45.3984375" style="5" customWidth="1"/>
    <col min="7427" max="7427" width="17.3984375" style="5"/>
    <col min="7428" max="7435" width="14.796875" style="5" customWidth="1"/>
    <col min="7436" max="7680" width="17.3984375" style="5"/>
    <col min="7681" max="7681" width="52.19921875" style="5" customWidth="1"/>
    <col min="7682" max="7682" width="45.3984375" style="5" customWidth="1"/>
    <col min="7683" max="7683" width="17.3984375" style="5"/>
    <col min="7684" max="7691" width="14.796875" style="5" customWidth="1"/>
    <col min="7692" max="7936" width="17.3984375" style="5"/>
    <col min="7937" max="7937" width="52.19921875" style="5" customWidth="1"/>
    <col min="7938" max="7938" width="45.3984375" style="5" customWidth="1"/>
    <col min="7939" max="7939" width="17.3984375" style="5"/>
    <col min="7940" max="7947" width="14.796875" style="5" customWidth="1"/>
    <col min="7948" max="8192" width="17.3984375" style="5"/>
    <col min="8193" max="8193" width="52.19921875" style="5" customWidth="1"/>
    <col min="8194" max="8194" width="45.3984375" style="5" customWidth="1"/>
    <col min="8195" max="8195" width="17.3984375" style="5"/>
    <col min="8196" max="8203" width="14.796875" style="5" customWidth="1"/>
    <col min="8204" max="8448" width="17.3984375" style="5"/>
    <col min="8449" max="8449" width="52.19921875" style="5" customWidth="1"/>
    <col min="8450" max="8450" width="45.3984375" style="5" customWidth="1"/>
    <col min="8451" max="8451" width="17.3984375" style="5"/>
    <col min="8452" max="8459" width="14.796875" style="5" customWidth="1"/>
    <col min="8460" max="8704" width="17.3984375" style="5"/>
    <col min="8705" max="8705" width="52.19921875" style="5" customWidth="1"/>
    <col min="8706" max="8706" width="45.3984375" style="5" customWidth="1"/>
    <col min="8707" max="8707" width="17.3984375" style="5"/>
    <col min="8708" max="8715" width="14.796875" style="5" customWidth="1"/>
    <col min="8716" max="8960" width="17.3984375" style="5"/>
    <col min="8961" max="8961" width="52.19921875" style="5" customWidth="1"/>
    <col min="8962" max="8962" width="45.3984375" style="5" customWidth="1"/>
    <col min="8963" max="8963" width="17.3984375" style="5"/>
    <col min="8964" max="8971" width="14.796875" style="5" customWidth="1"/>
    <col min="8972" max="9216" width="17.3984375" style="5"/>
    <col min="9217" max="9217" width="52.19921875" style="5" customWidth="1"/>
    <col min="9218" max="9218" width="45.3984375" style="5" customWidth="1"/>
    <col min="9219" max="9219" width="17.3984375" style="5"/>
    <col min="9220" max="9227" width="14.796875" style="5" customWidth="1"/>
    <col min="9228" max="9472" width="17.3984375" style="5"/>
    <col min="9473" max="9473" width="52.19921875" style="5" customWidth="1"/>
    <col min="9474" max="9474" width="45.3984375" style="5" customWidth="1"/>
    <col min="9475" max="9475" width="17.3984375" style="5"/>
    <col min="9476" max="9483" width="14.796875" style="5" customWidth="1"/>
    <col min="9484" max="9728" width="17.3984375" style="5"/>
    <col min="9729" max="9729" width="52.19921875" style="5" customWidth="1"/>
    <col min="9730" max="9730" width="45.3984375" style="5" customWidth="1"/>
    <col min="9731" max="9731" width="17.3984375" style="5"/>
    <col min="9732" max="9739" width="14.796875" style="5" customWidth="1"/>
    <col min="9740" max="9984" width="17.3984375" style="5"/>
    <col min="9985" max="9985" width="52.19921875" style="5" customWidth="1"/>
    <col min="9986" max="9986" width="45.3984375" style="5" customWidth="1"/>
    <col min="9987" max="9987" width="17.3984375" style="5"/>
    <col min="9988" max="9995" width="14.796875" style="5" customWidth="1"/>
    <col min="9996" max="10240" width="17.3984375" style="5"/>
    <col min="10241" max="10241" width="52.19921875" style="5" customWidth="1"/>
    <col min="10242" max="10242" width="45.3984375" style="5" customWidth="1"/>
    <col min="10243" max="10243" width="17.3984375" style="5"/>
    <col min="10244" max="10251" width="14.796875" style="5" customWidth="1"/>
    <col min="10252" max="10496" width="17.3984375" style="5"/>
    <col min="10497" max="10497" width="52.19921875" style="5" customWidth="1"/>
    <col min="10498" max="10498" width="45.3984375" style="5" customWidth="1"/>
    <col min="10499" max="10499" width="17.3984375" style="5"/>
    <col min="10500" max="10507" width="14.796875" style="5" customWidth="1"/>
    <col min="10508" max="10752" width="17.3984375" style="5"/>
    <col min="10753" max="10753" width="52.19921875" style="5" customWidth="1"/>
    <col min="10754" max="10754" width="45.3984375" style="5" customWidth="1"/>
    <col min="10755" max="10755" width="17.3984375" style="5"/>
    <col min="10756" max="10763" width="14.796875" style="5" customWidth="1"/>
    <col min="10764" max="11008" width="17.3984375" style="5"/>
    <col min="11009" max="11009" width="52.19921875" style="5" customWidth="1"/>
    <col min="11010" max="11010" width="45.3984375" style="5" customWidth="1"/>
    <col min="11011" max="11011" width="17.3984375" style="5"/>
    <col min="11012" max="11019" width="14.796875" style="5" customWidth="1"/>
    <col min="11020" max="11264" width="17.3984375" style="5"/>
    <col min="11265" max="11265" width="52.19921875" style="5" customWidth="1"/>
    <col min="11266" max="11266" width="45.3984375" style="5" customWidth="1"/>
    <col min="11267" max="11267" width="17.3984375" style="5"/>
    <col min="11268" max="11275" width="14.796875" style="5" customWidth="1"/>
    <col min="11276" max="11520" width="17.3984375" style="5"/>
    <col min="11521" max="11521" width="52.19921875" style="5" customWidth="1"/>
    <col min="11522" max="11522" width="45.3984375" style="5" customWidth="1"/>
    <col min="11523" max="11523" width="17.3984375" style="5"/>
    <col min="11524" max="11531" width="14.796875" style="5" customWidth="1"/>
    <col min="11532" max="11776" width="17.3984375" style="5"/>
    <col min="11777" max="11777" width="52.19921875" style="5" customWidth="1"/>
    <col min="11778" max="11778" width="45.3984375" style="5" customWidth="1"/>
    <col min="11779" max="11779" width="17.3984375" style="5"/>
    <col min="11780" max="11787" width="14.796875" style="5" customWidth="1"/>
    <col min="11788" max="12032" width="17.3984375" style="5"/>
    <col min="12033" max="12033" width="52.19921875" style="5" customWidth="1"/>
    <col min="12034" max="12034" width="45.3984375" style="5" customWidth="1"/>
    <col min="12035" max="12035" width="17.3984375" style="5"/>
    <col min="12036" max="12043" width="14.796875" style="5" customWidth="1"/>
    <col min="12044" max="12288" width="17.3984375" style="5"/>
    <col min="12289" max="12289" width="52.19921875" style="5" customWidth="1"/>
    <col min="12290" max="12290" width="45.3984375" style="5" customWidth="1"/>
    <col min="12291" max="12291" width="17.3984375" style="5"/>
    <col min="12292" max="12299" width="14.796875" style="5" customWidth="1"/>
    <col min="12300" max="12544" width="17.3984375" style="5"/>
    <col min="12545" max="12545" width="52.19921875" style="5" customWidth="1"/>
    <col min="12546" max="12546" width="45.3984375" style="5" customWidth="1"/>
    <col min="12547" max="12547" width="17.3984375" style="5"/>
    <col min="12548" max="12555" width="14.796875" style="5" customWidth="1"/>
    <col min="12556" max="12800" width="17.3984375" style="5"/>
    <col min="12801" max="12801" width="52.19921875" style="5" customWidth="1"/>
    <col min="12802" max="12802" width="45.3984375" style="5" customWidth="1"/>
    <col min="12803" max="12803" width="17.3984375" style="5"/>
    <col min="12804" max="12811" width="14.796875" style="5" customWidth="1"/>
    <col min="12812" max="13056" width="17.3984375" style="5"/>
    <col min="13057" max="13057" width="52.19921875" style="5" customWidth="1"/>
    <col min="13058" max="13058" width="45.3984375" style="5" customWidth="1"/>
    <col min="13059" max="13059" width="17.3984375" style="5"/>
    <col min="13060" max="13067" width="14.796875" style="5" customWidth="1"/>
    <col min="13068" max="13312" width="17.3984375" style="5"/>
    <col min="13313" max="13313" width="52.19921875" style="5" customWidth="1"/>
    <col min="13314" max="13314" width="45.3984375" style="5" customWidth="1"/>
    <col min="13315" max="13315" width="17.3984375" style="5"/>
    <col min="13316" max="13323" width="14.796875" style="5" customWidth="1"/>
    <col min="13324" max="13568" width="17.3984375" style="5"/>
    <col min="13569" max="13569" width="52.19921875" style="5" customWidth="1"/>
    <col min="13570" max="13570" width="45.3984375" style="5" customWidth="1"/>
    <col min="13571" max="13571" width="17.3984375" style="5"/>
    <col min="13572" max="13579" width="14.796875" style="5" customWidth="1"/>
    <col min="13580" max="13824" width="17.3984375" style="5"/>
    <col min="13825" max="13825" width="52.19921875" style="5" customWidth="1"/>
    <col min="13826" max="13826" width="45.3984375" style="5" customWidth="1"/>
    <col min="13827" max="13827" width="17.3984375" style="5"/>
    <col min="13828" max="13835" width="14.796875" style="5" customWidth="1"/>
    <col min="13836" max="14080" width="17.3984375" style="5"/>
    <col min="14081" max="14081" width="52.19921875" style="5" customWidth="1"/>
    <col min="14082" max="14082" width="45.3984375" style="5" customWidth="1"/>
    <col min="14083" max="14083" width="17.3984375" style="5"/>
    <col min="14084" max="14091" width="14.796875" style="5" customWidth="1"/>
    <col min="14092" max="14336" width="17.3984375" style="5"/>
    <col min="14337" max="14337" width="52.19921875" style="5" customWidth="1"/>
    <col min="14338" max="14338" width="45.3984375" style="5" customWidth="1"/>
    <col min="14339" max="14339" width="17.3984375" style="5"/>
    <col min="14340" max="14347" width="14.796875" style="5" customWidth="1"/>
    <col min="14348" max="14592" width="17.3984375" style="5"/>
    <col min="14593" max="14593" width="52.19921875" style="5" customWidth="1"/>
    <col min="14594" max="14594" width="45.3984375" style="5" customWidth="1"/>
    <col min="14595" max="14595" width="17.3984375" style="5"/>
    <col min="14596" max="14603" width="14.796875" style="5" customWidth="1"/>
    <col min="14604" max="14848" width="17.3984375" style="5"/>
    <col min="14849" max="14849" width="52.19921875" style="5" customWidth="1"/>
    <col min="14850" max="14850" width="45.3984375" style="5" customWidth="1"/>
    <col min="14851" max="14851" width="17.3984375" style="5"/>
    <col min="14852" max="14859" width="14.796875" style="5" customWidth="1"/>
    <col min="14860" max="15104" width="17.3984375" style="5"/>
    <col min="15105" max="15105" width="52.19921875" style="5" customWidth="1"/>
    <col min="15106" max="15106" width="45.3984375" style="5" customWidth="1"/>
    <col min="15107" max="15107" width="17.3984375" style="5"/>
    <col min="15108" max="15115" width="14.796875" style="5" customWidth="1"/>
    <col min="15116" max="15360" width="17.3984375" style="5"/>
    <col min="15361" max="15361" width="52.19921875" style="5" customWidth="1"/>
    <col min="15362" max="15362" width="45.3984375" style="5" customWidth="1"/>
    <col min="15363" max="15363" width="17.3984375" style="5"/>
    <col min="15364" max="15371" width="14.796875" style="5" customWidth="1"/>
    <col min="15372" max="15616" width="17.3984375" style="5"/>
    <col min="15617" max="15617" width="52.19921875" style="5" customWidth="1"/>
    <col min="15618" max="15618" width="45.3984375" style="5" customWidth="1"/>
    <col min="15619" max="15619" width="17.3984375" style="5"/>
    <col min="15620" max="15627" width="14.796875" style="5" customWidth="1"/>
    <col min="15628" max="15872" width="17.3984375" style="5"/>
    <col min="15873" max="15873" width="52.19921875" style="5" customWidth="1"/>
    <col min="15874" max="15874" width="45.3984375" style="5" customWidth="1"/>
    <col min="15875" max="15875" width="17.3984375" style="5"/>
    <col min="15876" max="15883" width="14.796875" style="5" customWidth="1"/>
    <col min="15884" max="16128" width="17.3984375" style="5"/>
    <col min="16129" max="16129" width="52.19921875" style="5" customWidth="1"/>
    <col min="16130" max="16130" width="45.3984375" style="5" customWidth="1"/>
    <col min="16131" max="16131" width="17.3984375" style="5"/>
    <col min="16132" max="16139" width="14.796875" style="5" customWidth="1"/>
    <col min="16140" max="16384" width="17.3984375" style="5"/>
  </cols>
  <sheetData>
    <row r="1" spans="1:8">
      <c r="A1" s="5" t="s">
        <v>357</v>
      </c>
    </row>
    <row r="4" spans="1:8" ht="19" thickBot="1">
      <c r="B4" s="19" t="s">
        <v>198</v>
      </c>
      <c r="C4" s="20" t="s">
        <v>358</v>
      </c>
      <c r="D4" s="17" t="s">
        <v>199</v>
      </c>
      <c r="E4" s="18" t="s">
        <v>359</v>
      </c>
      <c r="F4" s="17" t="s">
        <v>360</v>
      </c>
      <c r="G4" s="20" t="s">
        <v>361</v>
      </c>
      <c r="H4" s="17" t="s">
        <v>441</v>
      </c>
    </row>
    <row r="5" spans="1:8" ht="49" customHeight="1">
      <c r="A5" s="566" t="s">
        <v>368</v>
      </c>
      <c r="B5" s="567" t="s">
        <v>200</v>
      </c>
      <c r="C5" s="57" t="s">
        <v>369</v>
      </c>
      <c r="D5" s="537">
        <v>30</v>
      </c>
      <c r="E5" s="537">
        <v>8.3000000000000004E-2</v>
      </c>
      <c r="F5" s="537">
        <v>8.4000000000000005E-2</v>
      </c>
      <c r="G5" s="538">
        <v>1.7659999999999999E-2</v>
      </c>
      <c r="H5" s="539">
        <v>7.3999999999999996E-2</v>
      </c>
    </row>
    <row r="6" spans="1:8" ht="19" customHeight="1" thickBot="1">
      <c r="A6" s="566"/>
      <c r="B6" s="567"/>
      <c r="C6" s="58" t="s">
        <v>370</v>
      </c>
      <c r="D6" s="540">
        <v>57</v>
      </c>
      <c r="E6" s="540">
        <v>4.3999999999999997E-2</v>
      </c>
      <c r="F6" s="540">
        <v>4.5999999999999999E-2</v>
      </c>
      <c r="G6" s="541">
        <v>9.5200000000000007E-3</v>
      </c>
      <c r="H6" s="542">
        <v>0.04</v>
      </c>
    </row>
    <row r="7" spans="1:8" ht="18" customHeight="1">
      <c r="A7" s="566"/>
      <c r="B7" s="564"/>
      <c r="C7" s="59" t="s">
        <v>201</v>
      </c>
      <c r="D7" s="543">
        <v>41</v>
      </c>
      <c r="E7" s="543">
        <v>6.0999999999999999E-2</v>
      </c>
      <c r="F7" s="543">
        <v>6.3E-2</v>
      </c>
      <c r="G7" s="544">
        <v>1.306E-2</v>
      </c>
      <c r="H7" s="543">
        <v>5.5E-2</v>
      </c>
    </row>
    <row r="8" spans="1:8">
      <c r="A8" s="566"/>
      <c r="B8" s="564" t="s">
        <v>202</v>
      </c>
      <c r="C8" s="60" t="s">
        <v>203</v>
      </c>
      <c r="D8" s="545">
        <v>25</v>
      </c>
      <c r="E8" s="545">
        <v>0.1</v>
      </c>
      <c r="F8" s="545">
        <v>0.112</v>
      </c>
      <c r="G8" s="546">
        <v>2.0580000000000001E-2</v>
      </c>
      <c r="H8" s="545">
        <v>8.7999999999999995E-2</v>
      </c>
    </row>
    <row r="9" spans="1:8">
      <c r="A9" s="566"/>
      <c r="B9" s="564"/>
      <c r="C9" s="60" t="s">
        <v>204</v>
      </c>
      <c r="D9" s="545">
        <v>36</v>
      </c>
      <c r="E9" s="545">
        <v>6.9000000000000006E-2</v>
      </c>
      <c r="F9" s="545">
        <v>7.1999999999999995E-2</v>
      </c>
      <c r="G9" s="546">
        <v>1.494E-2</v>
      </c>
      <c r="H9" s="545">
        <v>6.2E-2</v>
      </c>
    </row>
    <row r="10" spans="1:8">
      <c r="A10" s="566"/>
      <c r="B10" s="564" t="s">
        <v>205</v>
      </c>
      <c r="C10" s="61" t="s">
        <v>206</v>
      </c>
      <c r="D10" s="545">
        <v>50</v>
      </c>
      <c r="E10" s="545">
        <v>0.05</v>
      </c>
      <c r="F10" s="545">
        <v>5.2999999999999999E-2</v>
      </c>
      <c r="G10" s="546">
        <v>1.072E-2</v>
      </c>
      <c r="H10" s="545">
        <v>4.4999999999999998E-2</v>
      </c>
    </row>
    <row r="11" spans="1:8">
      <c r="A11" s="566"/>
      <c r="B11" s="564"/>
      <c r="C11" s="61" t="s">
        <v>207</v>
      </c>
      <c r="D11" s="545">
        <v>42</v>
      </c>
      <c r="E11" s="545">
        <v>0.06</v>
      </c>
      <c r="F11" s="545">
        <v>6.3E-2</v>
      </c>
      <c r="G11" s="546">
        <v>1.261E-2</v>
      </c>
      <c r="H11" s="545">
        <v>5.2999999999999999E-2</v>
      </c>
    </row>
    <row r="12" spans="1:8">
      <c r="A12" s="566"/>
      <c r="B12" s="564"/>
      <c r="C12" s="61" t="s">
        <v>208</v>
      </c>
      <c r="D12" s="545">
        <v>15</v>
      </c>
      <c r="E12" s="545">
        <v>0.16700000000000001</v>
      </c>
      <c r="F12" s="545">
        <v>0.2</v>
      </c>
      <c r="G12" s="546">
        <v>3.2169999999999997E-2</v>
      </c>
      <c r="H12" s="545">
        <v>0.14199999999999999</v>
      </c>
    </row>
    <row r="13" spans="1:8">
      <c r="A13" s="566"/>
      <c r="B13" s="564"/>
      <c r="C13" s="61" t="s">
        <v>209</v>
      </c>
      <c r="D13" s="545">
        <v>30</v>
      </c>
      <c r="E13" s="545">
        <v>8.3000000000000004E-2</v>
      </c>
      <c r="F13" s="545">
        <v>8.4000000000000005E-2</v>
      </c>
      <c r="G13" s="546">
        <v>1.7659999999999999E-2</v>
      </c>
      <c r="H13" s="545">
        <v>7.3999999999999996E-2</v>
      </c>
    </row>
    <row r="14" spans="1:8">
      <c r="A14" s="566"/>
      <c r="B14" s="564"/>
      <c r="C14" s="61" t="s">
        <v>210</v>
      </c>
      <c r="D14" s="545">
        <v>20</v>
      </c>
      <c r="E14" s="545">
        <v>0.125</v>
      </c>
      <c r="F14" s="545">
        <v>0.14299999999999999</v>
      </c>
      <c r="G14" s="546">
        <v>2.5170000000000001E-2</v>
      </c>
      <c r="H14" s="545">
        <v>7.3999999999999996E-2</v>
      </c>
    </row>
    <row r="15" spans="1:8">
      <c r="A15" s="566"/>
      <c r="B15" s="564"/>
      <c r="C15" s="61" t="s">
        <v>211</v>
      </c>
      <c r="D15" s="545">
        <v>30</v>
      </c>
      <c r="E15" s="545">
        <v>8.3000000000000004E-2</v>
      </c>
      <c r="F15" s="545">
        <v>8.4000000000000005E-2</v>
      </c>
      <c r="G15" s="546">
        <v>1.7659999999999999E-2</v>
      </c>
      <c r="H15" s="545">
        <v>7.3999999999999996E-2</v>
      </c>
    </row>
    <row r="16" spans="1:8" ht="19" thickBot="1">
      <c r="A16" s="566"/>
      <c r="B16" s="565"/>
      <c r="C16" s="62" t="s">
        <v>203</v>
      </c>
      <c r="D16" s="547">
        <v>25</v>
      </c>
      <c r="E16" s="547">
        <v>0.1</v>
      </c>
      <c r="F16" s="547">
        <v>0.112</v>
      </c>
      <c r="G16" s="548">
        <v>2.0580000000000001E-2</v>
      </c>
      <c r="H16" s="547">
        <v>8.7999999999999995E-2</v>
      </c>
    </row>
    <row r="17" spans="1:8">
      <c r="A17" s="571" t="s">
        <v>371</v>
      </c>
      <c r="B17" s="572" t="s">
        <v>372</v>
      </c>
      <c r="C17" s="573"/>
      <c r="D17" s="537">
        <v>22</v>
      </c>
      <c r="E17" s="549">
        <v>0.114</v>
      </c>
      <c r="F17" s="537">
        <v>0.125</v>
      </c>
      <c r="G17" s="538">
        <v>2.2960000000000001E-2</v>
      </c>
      <c r="H17" s="550">
        <v>9.9000000000000005E-2</v>
      </c>
    </row>
    <row r="18" spans="1:8" ht="19" thickBot="1">
      <c r="A18" s="571"/>
      <c r="B18" s="574" t="s">
        <v>212</v>
      </c>
      <c r="C18" s="575"/>
      <c r="D18" s="540">
        <v>20</v>
      </c>
      <c r="E18" s="540">
        <v>0.125</v>
      </c>
      <c r="F18" s="540">
        <v>0.14299999999999999</v>
      </c>
      <c r="G18" s="541">
        <v>2.5170000000000001E-2</v>
      </c>
      <c r="H18" s="542">
        <v>0.109</v>
      </c>
    </row>
    <row r="19" spans="1:8">
      <c r="A19" s="566"/>
      <c r="B19" s="576" t="s">
        <v>213</v>
      </c>
      <c r="C19" s="577"/>
      <c r="D19" s="543">
        <v>15</v>
      </c>
      <c r="E19" s="543">
        <v>0.16700000000000001</v>
      </c>
      <c r="F19" s="543">
        <v>0.2</v>
      </c>
      <c r="G19" s="544">
        <v>3.2169999999999997E-2</v>
      </c>
      <c r="H19" s="543">
        <v>0.14199999999999999</v>
      </c>
    </row>
    <row r="20" spans="1:8">
      <c r="A20" s="566"/>
      <c r="B20" s="578" t="s">
        <v>214</v>
      </c>
      <c r="C20" s="579"/>
      <c r="D20" s="545">
        <v>15</v>
      </c>
      <c r="E20" s="545">
        <v>0.16700000000000001</v>
      </c>
      <c r="F20" s="545">
        <v>0.2</v>
      </c>
      <c r="G20" s="546">
        <v>3.2169999999999997E-2</v>
      </c>
      <c r="H20" s="545">
        <v>0.14199999999999999</v>
      </c>
    </row>
    <row r="21" spans="1:8">
      <c r="A21" s="566"/>
      <c r="B21" s="565" t="s">
        <v>373</v>
      </c>
      <c r="C21" s="486" t="s">
        <v>215</v>
      </c>
      <c r="D21" s="545">
        <v>15</v>
      </c>
      <c r="E21" s="545">
        <v>0.16700000000000001</v>
      </c>
      <c r="F21" s="545">
        <v>0.2</v>
      </c>
      <c r="G21" s="546">
        <v>3.2169999999999997E-2</v>
      </c>
      <c r="H21" s="545">
        <v>0.14199999999999999</v>
      </c>
    </row>
    <row r="22" spans="1:8">
      <c r="A22" s="566"/>
      <c r="B22" s="580"/>
      <c r="C22" s="486" t="s">
        <v>216</v>
      </c>
      <c r="D22" s="545">
        <v>18</v>
      </c>
      <c r="E22" s="545">
        <v>0.13900000000000001</v>
      </c>
      <c r="F22" s="545">
        <v>0.14299999999999999</v>
      </c>
      <c r="G22" s="546">
        <v>2.7570000000000001E-2</v>
      </c>
      <c r="H22" s="545">
        <v>0.12</v>
      </c>
    </row>
    <row r="23" spans="1:8">
      <c r="A23" s="566"/>
      <c r="B23" s="578" t="s">
        <v>217</v>
      </c>
      <c r="C23" s="579"/>
      <c r="D23" s="545">
        <v>22</v>
      </c>
      <c r="E23" s="545">
        <v>0.114</v>
      </c>
      <c r="F23" s="545">
        <v>0.125</v>
      </c>
      <c r="G23" s="546">
        <v>2.2960000000000001E-2</v>
      </c>
      <c r="H23" s="551">
        <v>9.9000000000000005E-2</v>
      </c>
    </row>
    <row r="24" spans="1:8">
      <c r="A24" s="566"/>
      <c r="B24" s="578" t="s">
        <v>218</v>
      </c>
      <c r="C24" s="579"/>
      <c r="D24" s="545">
        <v>6</v>
      </c>
      <c r="E24" s="545">
        <v>0.41699999999999998</v>
      </c>
      <c r="F24" s="545">
        <v>0.5</v>
      </c>
      <c r="G24" s="546">
        <v>5.7759999999999999E-2</v>
      </c>
      <c r="H24" s="545">
        <v>0.31900000000000001</v>
      </c>
    </row>
    <row r="25" spans="1:8">
      <c r="A25" s="566" t="s">
        <v>374</v>
      </c>
      <c r="B25" s="568" t="s">
        <v>375</v>
      </c>
      <c r="C25" s="55" t="s">
        <v>362</v>
      </c>
      <c r="D25" s="545">
        <v>38</v>
      </c>
      <c r="E25" s="545">
        <v>6.6000000000000003E-2</v>
      </c>
      <c r="F25" s="545">
        <v>6.7000000000000004E-2</v>
      </c>
      <c r="G25" s="546">
        <v>1.393E-2</v>
      </c>
      <c r="H25" s="545">
        <v>5.8999999999999997E-2</v>
      </c>
    </row>
    <row r="26" spans="1:8">
      <c r="A26" s="566"/>
      <c r="B26" s="569"/>
      <c r="C26" s="55" t="s">
        <v>219</v>
      </c>
      <c r="D26" s="545">
        <v>34</v>
      </c>
      <c r="E26" s="545">
        <v>7.3999999999999996E-2</v>
      </c>
      <c r="F26" s="545">
        <v>7.6999999999999999E-2</v>
      </c>
      <c r="G26" s="546">
        <v>1.532E-2</v>
      </c>
      <c r="H26" s="545">
        <v>6.6000000000000003E-2</v>
      </c>
    </row>
    <row r="27" spans="1:8">
      <c r="A27" s="566"/>
      <c r="B27" s="569"/>
      <c r="C27" s="55" t="s">
        <v>437</v>
      </c>
      <c r="D27" s="545">
        <v>31</v>
      </c>
      <c r="E27" s="545">
        <v>8.1000000000000003E-2</v>
      </c>
      <c r="F27" s="545">
        <v>8.4000000000000005E-2</v>
      </c>
      <c r="G27" s="546">
        <v>1.6879999999999999E-2</v>
      </c>
      <c r="H27" s="545">
        <v>7.1999999999999995E-2</v>
      </c>
    </row>
    <row r="28" spans="1:8">
      <c r="A28" s="566"/>
      <c r="B28" s="569"/>
      <c r="C28" s="55" t="s">
        <v>438</v>
      </c>
      <c r="D28" s="545">
        <v>25</v>
      </c>
      <c r="E28" s="545">
        <v>0.1</v>
      </c>
      <c r="F28" s="545">
        <v>0.112</v>
      </c>
      <c r="G28" s="546">
        <v>2.0580000000000001E-2</v>
      </c>
      <c r="H28" s="545">
        <v>8.7999999999999995E-2</v>
      </c>
    </row>
    <row r="29" spans="1:8">
      <c r="A29" s="566"/>
      <c r="B29" s="569"/>
      <c r="C29" s="55" t="s">
        <v>439</v>
      </c>
      <c r="D29" s="545">
        <v>19</v>
      </c>
      <c r="E29" s="545">
        <v>0.13200000000000001</v>
      </c>
      <c r="F29" s="545">
        <v>0.14299999999999999</v>
      </c>
      <c r="G29" s="546">
        <v>2.6159999999999999E-2</v>
      </c>
      <c r="H29" s="545">
        <v>0.114</v>
      </c>
    </row>
    <row r="30" spans="1:8" ht="18" customHeight="1">
      <c r="A30" s="566"/>
      <c r="B30" s="569"/>
      <c r="C30" s="56" t="s">
        <v>376</v>
      </c>
      <c r="D30" s="545">
        <v>17</v>
      </c>
      <c r="E30" s="545">
        <v>0.14699999999999999</v>
      </c>
      <c r="F30" s="545">
        <v>0.16700000000000001</v>
      </c>
      <c r="G30" s="546">
        <v>2.9049999999999999E-2</v>
      </c>
      <c r="H30" s="545">
        <v>0.127</v>
      </c>
    </row>
    <row r="31" spans="1:8">
      <c r="A31" s="566"/>
      <c r="B31" s="570"/>
      <c r="C31" s="55" t="s">
        <v>220</v>
      </c>
      <c r="D31" s="545">
        <v>15</v>
      </c>
      <c r="E31" s="545">
        <v>0.16700000000000001</v>
      </c>
      <c r="F31" s="545">
        <v>0.2</v>
      </c>
      <c r="G31" s="546">
        <v>3.2169999999999997E-2</v>
      </c>
      <c r="H31" s="545">
        <v>0.14199999999999999</v>
      </c>
    </row>
    <row r="32" spans="1:8" ht="44" customHeight="1">
      <c r="A32" s="562" t="s">
        <v>221</v>
      </c>
      <c r="B32" s="564" t="s">
        <v>222</v>
      </c>
      <c r="C32" s="63" t="s">
        <v>218</v>
      </c>
      <c r="D32" s="545">
        <v>6</v>
      </c>
      <c r="E32" s="545">
        <v>0.41699999999999998</v>
      </c>
      <c r="F32" s="545">
        <v>0.5</v>
      </c>
      <c r="G32" s="546">
        <v>5.7759999999999999E-2</v>
      </c>
      <c r="H32" s="545">
        <v>0.31900000000000001</v>
      </c>
    </row>
    <row r="33" spans="1:8">
      <c r="A33" s="563"/>
      <c r="B33" s="564"/>
      <c r="C33" s="486" t="s">
        <v>223</v>
      </c>
      <c r="D33" s="545">
        <v>15</v>
      </c>
      <c r="E33" s="545">
        <v>0.16700000000000001</v>
      </c>
      <c r="F33" s="545">
        <v>0.2</v>
      </c>
      <c r="G33" s="546">
        <v>3.2169999999999997E-2</v>
      </c>
      <c r="H33" s="545">
        <v>0.14199999999999999</v>
      </c>
    </row>
    <row r="39" spans="1:8">
      <c r="B39" s="64" t="s">
        <v>363</v>
      </c>
      <c r="C39" s="64"/>
    </row>
    <row r="40" spans="1:8">
      <c r="B40" s="64" t="s">
        <v>364</v>
      </c>
      <c r="C40" s="64"/>
    </row>
    <row r="41" spans="1:8">
      <c r="B41" s="64"/>
      <c r="C41" s="64"/>
    </row>
    <row r="42" spans="1:8">
      <c r="B42" s="65" t="s">
        <v>377</v>
      </c>
      <c r="C42" s="64"/>
    </row>
    <row r="43" spans="1:8">
      <c r="B43" s="65" t="s">
        <v>378</v>
      </c>
      <c r="C43" s="64"/>
    </row>
    <row r="44" spans="1:8">
      <c r="B44" s="66"/>
      <c r="C44" s="64"/>
    </row>
    <row r="45" spans="1:8">
      <c r="B45" s="65" t="s">
        <v>365</v>
      </c>
      <c r="C45" s="64"/>
    </row>
    <row r="46" spans="1:8">
      <c r="B46" s="65" t="s">
        <v>379</v>
      </c>
      <c r="C46" s="64"/>
    </row>
    <row r="47" spans="1:8">
      <c r="B47" s="65" t="s">
        <v>380</v>
      </c>
      <c r="C47" s="64"/>
    </row>
    <row r="48" spans="1:8">
      <c r="B48" s="65" t="s">
        <v>366</v>
      </c>
      <c r="C48" s="64"/>
    </row>
    <row r="49" spans="2:5">
      <c r="B49" s="66"/>
      <c r="C49" s="64"/>
      <c r="E49" s="5"/>
    </row>
    <row r="50" spans="2:5">
      <c r="B50" s="67" t="s">
        <v>367</v>
      </c>
      <c r="C50" s="64"/>
      <c r="E50" s="5"/>
    </row>
  </sheetData>
  <sheetProtection password="C6F4" sheet="1" objects="1" scenarios="1"/>
  <mergeCells count="16">
    <mergeCell ref="A32:A33"/>
    <mergeCell ref="B32:B33"/>
    <mergeCell ref="B10:B16"/>
    <mergeCell ref="A5:A16"/>
    <mergeCell ref="B5:B7"/>
    <mergeCell ref="B8:B9"/>
    <mergeCell ref="A25:A31"/>
    <mergeCell ref="B25:B31"/>
    <mergeCell ref="A17:A24"/>
    <mergeCell ref="B17:C17"/>
    <mergeCell ref="B18:C18"/>
    <mergeCell ref="B19:C19"/>
    <mergeCell ref="B20:C20"/>
    <mergeCell ref="B21:B22"/>
    <mergeCell ref="B23:C23"/>
    <mergeCell ref="B24:C24"/>
  </mergeCells>
  <phoneticPr fontId="6"/>
  <hyperlinks>
    <hyperlink ref="B50" r:id="rId1"/>
  </hyperlinks>
  <pageMargins left="0.78700000000000003" right="0.78700000000000003" top="0.98399999999999999" bottom="0.98399999999999999" header="0.3" footer="0.3"/>
  <pageSetup paperSize="0"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使用方法</vt:lpstr>
      <vt:lpstr>パラメータ</vt:lpstr>
      <vt:lpstr> PL1</vt:lpstr>
      <vt:lpstr>FNC1</vt:lpstr>
      <vt:lpstr>AS1</vt:lpstr>
      <vt:lpstr>小水力運用</vt:lpstr>
      <vt:lpstr>保険料</vt:lpstr>
      <vt:lpstr>共済</vt:lpstr>
      <vt:lpstr>設備耐用年数</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勝洋</dc:creator>
  <cp:keywords/>
  <dc:description/>
  <cp:lastModifiedBy>Sugiura Yayoi</cp:lastModifiedBy>
  <cp:lastPrinted>2010-11-12T02:07:36Z</cp:lastPrinted>
  <dcterms:created xsi:type="dcterms:W3CDTF">2004-08-06T10:56:22Z</dcterms:created>
  <dcterms:modified xsi:type="dcterms:W3CDTF">2012-06-01T00:31:01Z</dcterms:modified>
  <cp:category/>
</cp:coreProperties>
</file>